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A0 UAP\A2 Journal Papers\Experiencer paper\"/>
    </mc:Choice>
  </mc:AlternateContent>
  <xr:revisionPtr revIDLastSave="0" documentId="13_ncr:1_{BBFB7E6B-21AD-4BAD-9A75-D91A02EC36B0}" xr6:coauthVersionLast="47" xr6:coauthVersionMax="47" xr10:uidLastSave="{00000000-0000-0000-0000-000000000000}"/>
  <bookViews>
    <workbookView xWindow="-120" yWindow="-120" windowWidth="29040" windowHeight="15720" firstSheet="7" activeTab="11" xr2:uid="{00000000-000D-0000-FFFF-FFFF00000000}"/>
  </bookViews>
  <sheets>
    <sheet name="00_Categories" sheetId="1" r:id="rId1"/>
    <sheet name="01_Stages" sheetId="2" r:id="rId2"/>
    <sheet name="02_Life_Periods" sheetId="3" r:id="rId3"/>
    <sheet name="Raw_Encounters" sheetId="4" r:id="rId4"/>
    <sheet name="Stage_Counts" sheetId="5" r:id="rId5"/>
    <sheet name="LifePeriod_by_Category" sheetId="6" r:id="rId6"/>
    <sheet name="Category_Totals" sheetId="7" r:id="rId7"/>
    <sheet name="Methods_Overview" sheetId="8" r:id="rId8"/>
    <sheet name="Subphase_Encounters" sheetId="9" r:id="rId9"/>
    <sheet name="All_Events_63" sheetId="10" r:id="rId10"/>
    <sheet name="Stage_Counts_63" sheetId="11" r:id="rId11"/>
    <sheet name="LifePeriod_by_Category_63" sheetId="12" r:id="rId12"/>
    <sheet name="Category_Totals_63" sheetId="13" r:id="rId13"/>
    <sheet name="Parent_Subphase_Mapping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2" l="1"/>
  <c r="C7" i="12"/>
  <c r="D7" i="12"/>
  <c r="E7" i="12"/>
  <c r="F7" i="12"/>
  <c r="G7" i="12"/>
  <c r="H7" i="12"/>
  <c r="I7" i="12"/>
  <c r="J7" i="12"/>
  <c r="K7" i="12"/>
  <c r="C11" i="13"/>
  <c r="C10" i="13"/>
  <c r="C9" i="13"/>
  <c r="C8" i="13"/>
  <c r="C7" i="13"/>
  <c r="C6" i="13"/>
  <c r="C5" i="13"/>
  <c r="C4" i="13"/>
  <c r="C3" i="13"/>
  <c r="C2" i="13"/>
  <c r="K3" i="12"/>
  <c r="J3" i="12"/>
  <c r="I3" i="12"/>
  <c r="H3" i="12"/>
  <c r="G3" i="12"/>
  <c r="F3" i="12"/>
  <c r="E3" i="12"/>
  <c r="D3" i="12"/>
  <c r="C3" i="12"/>
  <c r="B3" i="12"/>
  <c r="K2" i="12"/>
  <c r="J2" i="12"/>
  <c r="I2" i="12"/>
  <c r="H2" i="12"/>
  <c r="G2" i="12"/>
  <c r="F2" i="12"/>
  <c r="E2" i="12"/>
  <c r="D2" i="12"/>
  <c r="C2" i="12"/>
  <c r="B2" i="12"/>
  <c r="K6" i="12"/>
  <c r="J6" i="12"/>
  <c r="I6" i="12"/>
  <c r="H6" i="12"/>
  <c r="G6" i="12"/>
  <c r="F6" i="12"/>
  <c r="E6" i="12"/>
  <c r="D6" i="12"/>
  <c r="C6" i="12"/>
  <c r="B6" i="12"/>
  <c r="K5" i="12"/>
  <c r="J5" i="12"/>
  <c r="I5" i="12"/>
  <c r="H5" i="12"/>
  <c r="G5" i="12"/>
  <c r="F5" i="12"/>
  <c r="E5" i="12"/>
  <c r="D5" i="12"/>
  <c r="C5" i="12"/>
  <c r="B5" i="12"/>
  <c r="K4" i="12"/>
  <c r="J4" i="12"/>
  <c r="I4" i="12"/>
  <c r="H4" i="12"/>
  <c r="G4" i="12"/>
  <c r="F4" i="12"/>
  <c r="E4" i="12"/>
  <c r="D4" i="12"/>
  <c r="C4" i="12"/>
  <c r="B4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K8" i="12"/>
  <c r="J8" i="12"/>
  <c r="I8" i="12"/>
  <c r="H8" i="12"/>
  <c r="G8" i="12"/>
  <c r="F8" i="12"/>
  <c r="E8" i="12"/>
  <c r="D8" i="12"/>
  <c r="C8" i="12"/>
  <c r="B8" i="12"/>
  <c r="C7" i="11"/>
  <c r="C6" i="11"/>
  <c r="C5" i="11"/>
  <c r="C4" i="11"/>
  <c r="C3" i="11"/>
  <c r="C2" i="11"/>
  <c r="C11" i="7"/>
  <c r="C10" i="7"/>
  <c r="C9" i="7"/>
  <c r="C8" i="7"/>
  <c r="C7" i="7"/>
  <c r="C6" i="7"/>
  <c r="C5" i="7"/>
  <c r="C4" i="7"/>
  <c r="C3" i="7"/>
  <c r="C2" i="7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J6" i="6"/>
  <c r="I6" i="6"/>
  <c r="H6" i="6"/>
  <c r="G6" i="6"/>
  <c r="F6" i="6"/>
  <c r="E6" i="6"/>
  <c r="D6" i="6"/>
  <c r="C6" i="6"/>
  <c r="B6" i="6"/>
  <c r="K5" i="6"/>
  <c r="J5" i="6"/>
  <c r="I5" i="6"/>
  <c r="H5" i="6"/>
  <c r="G5" i="6"/>
  <c r="F5" i="6"/>
  <c r="E5" i="6"/>
  <c r="D5" i="6"/>
  <c r="C5" i="6"/>
  <c r="B5" i="6"/>
  <c r="K4" i="6"/>
  <c r="J4" i="6"/>
  <c r="I4" i="6"/>
  <c r="H4" i="6"/>
  <c r="G4" i="6"/>
  <c r="F4" i="6"/>
  <c r="E4" i="6"/>
  <c r="D4" i="6"/>
  <c r="C4" i="6"/>
  <c r="B4" i="6"/>
  <c r="K3" i="6"/>
  <c r="J3" i="6"/>
  <c r="I3" i="6"/>
  <c r="H3" i="6"/>
  <c r="G3" i="6"/>
  <c r="F3" i="6"/>
  <c r="E3" i="6"/>
  <c r="D3" i="6"/>
  <c r="C3" i="6"/>
  <c r="B3" i="6"/>
  <c r="K2" i="6"/>
  <c r="J2" i="6"/>
  <c r="I2" i="6"/>
  <c r="H2" i="6"/>
  <c r="G2" i="6"/>
  <c r="F2" i="6"/>
  <c r="E2" i="6"/>
  <c r="D2" i="6"/>
  <c r="C2" i="6"/>
  <c r="B2" i="6"/>
  <c r="C7" i="5"/>
  <c r="C6" i="5"/>
  <c r="C5" i="5"/>
  <c r="C4" i="5"/>
  <c r="C3" i="5"/>
  <c r="C2" i="5"/>
</calcChain>
</file>

<file path=xl/sharedStrings.xml><?xml version="1.0" encoding="utf-8"?>
<sst xmlns="http://schemas.openxmlformats.org/spreadsheetml/2006/main" count="1383" uniqueCount="312">
  <si>
    <t>Category_Code</t>
  </si>
  <si>
    <t>Category_Name</t>
  </si>
  <si>
    <t>Definition</t>
  </si>
  <si>
    <t>ENT</t>
  </si>
  <si>
    <t>Entities / NHI</t>
  </si>
  <si>
    <t>Presence of non-human or non-ordinary intelligences, visual or non-visual.</t>
  </si>
  <si>
    <t>CNS</t>
  </si>
  <si>
    <t>Consciousness State Alteration</t>
  </si>
  <si>
    <t>OBE, lucidity, bilocation, hypnagogic transitions, altered awareness.</t>
  </si>
  <si>
    <t>DIS</t>
  </si>
  <si>
    <t>Spatial Displacement</t>
  </si>
  <si>
    <t>Movement through structures, relocation, teleportation-like transitions.</t>
  </si>
  <si>
    <t>GEO</t>
  </si>
  <si>
    <t>Geometric / Energetic Phenomena</t>
  </si>
  <si>
    <t>Rings, toroids, fields, membranes, structured light or energy.</t>
  </si>
  <si>
    <t>STK</t>
  </si>
  <si>
    <t>Stacked Rooms / Layered Environment</t>
  </si>
  <si>
    <t>Multiple overlapping or nested perceptual environments.</t>
  </si>
  <si>
    <t>TMP</t>
  </si>
  <si>
    <t>Temporal / Precognitive Effects</t>
  </si>
  <si>
    <t>Time distortion, foresight, non-linear temporal experience.</t>
  </si>
  <si>
    <t>SOM</t>
  </si>
  <si>
    <t>Somatic Traces</t>
  </si>
  <si>
    <t>Physical marks, energetic impacts, or physiological resonance from encounters.</t>
  </si>
  <si>
    <t>SYM</t>
  </si>
  <si>
    <t>Symbolic Gestures</t>
  </si>
  <si>
    <t>Non-linguistic communicative actions with clear semantic content.</t>
  </si>
  <si>
    <t>ENV</t>
  </si>
  <si>
    <t>Environmental Reconstruction</t>
  </si>
  <si>
    <t>Synthetic, constructed, or altered spatial environments.</t>
  </si>
  <si>
    <t>ORI</t>
  </si>
  <si>
    <t>4D Orientation Events</t>
  </si>
  <si>
    <t>Fully coherent transitions into structured non-3D spaces or 'orientation' scenes.</t>
  </si>
  <si>
    <t>Stage_Code</t>
  </si>
  <si>
    <t>Stage_Name</t>
  </si>
  <si>
    <t>Description</t>
  </si>
  <si>
    <t>S1</t>
  </si>
  <si>
    <t>Stage 1 – Raw Exposure</t>
  </si>
  <si>
    <t>Childhood liminal experiences, silhouettes, fear, and basic presence phenomena.</t>
  </si>
  <si>
    <t>S2</t>
  </si>
  <si>
    <t>Stage 2 – Threshold Disturbance</t>
  </si>
  <si>
    <t>Adolescent presence states, dread, and boundary-testing encounters.</t>
  </si>
  <si>
    <t>S3</t>
  </si>
  <si>
    <t>Stage 3 – 4D Interference</t>
  </si>
  <si>
    <t>Early-adult OBEs, tethering, and layered-room or interference experiences.</t>
  </si>
  <si>
    <t>S4</t>
  </si>
  <si>
    <t>Stage 4 – Symbolic Integration</t>
  </si>
  <si>
    <t>Mid-life symbolic gestures, geometric motifs, and meaning-rich episodes.</t>
  </si>
  <si>
    <t>S5</t>
  </si>
  <si>
    <t>Stage 5 – Technical Demonstration</t>
  </si>
  <si>
    <t>Post-2019 guided transitions, technical or craft-related demonstrations.</t>
  </si>
  <si>
    <t>S6</t>
  </si>
  <si>
    <t>Stage 6 – Orientation</t>
  </si>
  <si>
    <t>High-coherence 4D orientation events and structured reception spaces.</t>
  </si>
  <si>
    <t>Life_Period</t>
  </si>
  <si>
    <t>Approx_Age</t>
  </si>
  <si>
    <t>Childhood</t>
  </si>
  <si>
    <t>6–15</t>
  </si>
  <si>
    <t>Early-life exposure and liminal states.</t>
  </si>
  <si>
    <t>Teens</t>
  </si>
  <si>
    <t>16–19</t>
  </si>
  <si>
    <t>Adolescent threshold and early visions.</t>
  </si>
  <si>
    <t>20s</t>
  </si>
  <si>
    <t>20–29</t>
  </si>
  <si>
    <t>Early adulthood OBEs and flight experiences.</t>
  </si>
  <si>
    <t>30s</t>
  </si>
  <si>
    <t>30–39</t>
  </si>
  <si>
    <t>Intense OBEs, layered rooms, emergent interference.</t>
  </si>
  <si>
    <t>40s</t>
  </si>
  <si>
    <t>40–47</t>
  </si>
  <si>
    <t>Symbolic, communicative, and conflict-oriented encounters.</t>
  </si>
  <si>
    <t>2019–2022</t>
  </si>
  <si>
    <t>48–51</t>
  </si>
  <si>
    <t>High density of structured encounters and physical effects.</t>
  </si>
  <si>
    <t>2023</t>
  </si>
  <si>
    <t>Transitional high-strangeness metallic-room events.</t>
  </si>
  <si>
    <t>2024</t>
  </si>
  <si>
    <t>51–52</t>
  </si>
  <si>
    <t>Bilocation, visitations, and training-like scenarios.</t>
  </si>
  <si>
    <t>2025</t>
  </si>
  <si>
    <t>52–53</t>
  </si>
  <si>
    <t>High-coherence 4D orientation, training, and craft-linked scenes.</t>
  </si>
  <si>
    <t>Encounter_ID</t>
  </si>
  <si>
    <t>Label</t>
  </si>
  <si>
    <t>Year_or_Date</t>
  </si>
  <si>
    <t>Age_or_Range</t>
  </si>
  <si>
    <t>Location</t>
  </si>
  <si>
    <t>Brief_Description</t>
  </si>
  <si>
    <t>Category_Codes</t>
  </si>
  <si>
    <t>Shadows on curtains</t>
  </si>
  <si>
    <t>1976–1977</t>
  </si>
  <si>
    <t>6–7</t>
  </si>
  <si>
    <t>Picton, NZ</t>
  </si>
  <si>
    <t>Shadows or silhouettes of figures moving across curtains while recovering from illness.</t>
  </si>
  <si>
    <t>ENT|CNS</t>
  </si>
  <si>
    <t>Short figures around bed</t>
  </si>
  <si>
    <t>1978–1979</t>
  </si>
  <si>
    <t>8–9</t>
  </si>
  <si>
    <t>Nelson, NZ</t>
  </si>
  <si>
    <t>Sick with flu; surrounded by short figures with enlarged heads and eyes.</t>
  </si>
  <si>
    <t>Malevolent wrinkled figure</t>
  </si>
  <si>
    <t>Wrinkled malevolent figure appearing above bed, descending toward experiencer.</t>
  </si>
  <si>
    <t>Void with dread</t>
  </si>
  <si>
    <t>1986–1989</t>
  </si>
  <si>
    <t>Whangaparaoa, NZ</t>
  </si>
  <si>
    <t>Fully awake, looking into moving black void in room, strong dread.</t>
  </si>
  <si>
    <t>CNS|ENV</t>
  </si>
  <si>
    <t>Guided flight</t>
  </si>
  <si>
    <t>Taken flying over location with multiple structures by an interacting presence.</t>
  </si>
  <si>
    <t>ENT|DIS|ENV</t>
  </si>
  <si>
    <t>High-altitude floating</t>
  </si>
  <si>
    <t>1990–1994</t>
  </si>
  <si>
    <t>20–24</t>
  </si>
  <si>
    <t>West Coast camp, NZ</t>
  </si>
  <si>
    <t>Wakes under stars to find self high above sleeping group.</t>
  </si>
  <si>
    <t>CNS|DIS</t>
  </si>
  <si>
    <t>OBEs over Bribie</t>
  </si>
  <si>
    <t>1995–1998</t>
  </si>
  <si>
    <t>25–27</t>
  </si>
  <si>
    <t>Brisbane / Bribie Island, AU</t>
  </si>
  <si>
    <t>Out-of-body experiences flying over trees and houses; repeated.</t>
  </si>
  <si>
    <t>CNS|DIS|ENV</t>
  </si>
  <si>
    <t>Falling then flying</t>
  </si>
  <si>
    <t>Likely QLD</t>
  </si>
  <si>
    <t>Falling in dream, chooses not to wake, stops above ground and realises ability to fly.</t>
  </si>
  <si>
    <t>CNS|DIS|TMP</t>
  </si>
  <si>
    <t>Ceiling tether OBE</t>
  </si>
  <si>
    <t>1999–2002</t>
  </si>
  <si>
    <t>28–31</t>
  </si>
  <si>
    <t>Leigh/Warkworth, NZ</t>
  </si>
  <si>
    <t>Leaves body, floats to ceiling, observes tether to body before dropping back in.</t>
  </si>
  <si>
    <t>Pitch-black room</t>
  </si>
  <si>
    <t>Intense vision of being trapped in a pitch-black room with no exit.</t>
  </si>
  <si>
    <t>ENV|CNS</t>
  </si>
  <si>
    <t>Emerald figure</t>
  </si>
  <si>
    <t>2003–2004</t>
  </si>
  <si>
    <t>32–33</t>
  </si>
  <si>
    <t>Spirits Bay, NZ</t>
  </si>
  <si>
    <t>Green figure wakes experiencer in tent, explains coming difficult period but eventual resolution.</t>
  </si>
  <si>
    <t>ENT|SYM|CNS</t>
  </si>
  <si>
    <t>Navy pendant vision</t>
  </si>
  <si>
    <t>2005–2006</t>
  </si>
  <si>
    <t>33–34</t>
  </si>
  <si>
    <t>Auckland, NZ</t>
  </si>
  <si>
    <t>Conscious in ex-partner's house vision; pendants everywhere; told it is time to go.</t>
  </si>
  <si>
    <t>Children from void</t>
  </si>
  <si>
    <t>2007–2009</t>
  </si>
  <si>
    <t>35–39</t>
  </si>
  <si>
    <t>Tauranga, NZ</t>
  </si>
  <si>
    <t>Giggling child voices emerge from void; pieces assemble into children.</t>
  </si>
  <si>
    <t>ENT|CNS|ENV</t>
  </si>
  <si>
    <t>Grandparents vision</t>
  </si>
  <si>
    <t>Vision of grandfather angrily reaching, followed by distant but happy grandmother.</t>
  </si>
  <si>
    <t>ENT|SYM</t>
  </si>
  <si>
    <t>Large descending figure</t>
  </si>
  <si>
    <t>2009–2012</t>
  </si>
  <si>
    <t>39–40</t>
  </si>
  <si>
    <t>Large figure descending in room at night, provoking fear.</t>
  </si>
  <si>
    <t>Sheets pulled</t>
  </si>
  <si>
    <t>2010–2012</t>
  </si>
  <si>
    <t>Presence in early morning; bed sheets pulled and body touched through sheets.</t>
  </si>
  <si>
    <t>ENT|SOM</t>
  </si>
  <si>
    <t>Night talking entity</t>
  </si>
  <si>
    <t>2012–2018</t>
  </si>
  <si>
    <t>41–47</t>
  </si>
  <si>
    <t>Perth, AU</t>
  </si>
  <si>
    <t>Partner reports nightly conversations with something; voice sometimes not own; conflict in sleep.</t>
  </si>
  <si>
    <t>ENT|CNS|SYM</t>
  </si>
  <si>
    <t>Spine energy strike</t>
  </si>
  <si>
    <t>Fully conscious, restrained by energy field, rod strikes lower back; long-lasting pain and sensitivity.</t>
  </si>
  <si>
    <t>SOM|ENT|CNS</t>
  </si>
  <si>
    <t>EM anomalies</t>
  </si>
  <si>
    <t>Pilbara / Perth, AU</t>
  </si>
  <si>
    <t>EM anomalies: phone messages scrambled, radio channels interrupted, insects, autonomous radio activation.</t>
  </si>
  <si>
    <t>TMP|ENV</t>
  </si>
  <si>
    <t>Sampling device</t>
  </si>
  <si>
    <t>Energy restraint and small being using sampling device on lower back; leaves when movement noted.</t>
  </si>
  <si>
    <t>ENT|SOM|CNS</t>
  </si>
  <si>
    <t>Short pale being</t>
  </si>
  <si>
    <t>Short pale being with chirping voice; recognises experiencer as human and departs.</t>
  </si>
  <si>
    <t>Craft dais entry</t>
  </si>
  <si>
    <t>Perth → craft</t>
  </si>
  <si>
    <t>Suspended horizontal entry into craft, placed on dais; entities discuss ability to move and speak.</t>
  </si>
  <si>
    <t>ENT|DIS|ENV|CNS</t>
  </si>
  <si>
    <t>Portal figure</t>
  </si>
  <si>
    <t>Perth bedroom</t>
  </si>
  <si>
    <t>Slim brownish figure with enlarged head, shimmering as if in portal, reaches toward bed then leaves.</t>
  </si>
  <si>
    <t>ENT|ENV</t>
  </si>
  <si>
    <t>Squat craft</t>
  </si>
  <si>
    <t>Perth sky</t>
  </si>
  <si>
    <t>Low, wingless, squat craft with smoke trail, slow and silent.</t>
  </si>
  <si>
    <t>GEO|ENV</t>
  </si>
  <si>
    <t>Stationary lights</t>
  </si>
  <si>
    <t>Perth hills</t>
  </si>
  <si>
    <t>Dual-row red and white lights motionless over mine site for extended periods.</t>
  </si>
  <si>
    <t>GEO|ENV|TMP</t>
  </si>
  <si>
    <t>Feet-first pull</t>
  </si>
  <si>
    <t>Forest clearing</t>
  </si>
  <si>
    <t>From beach dream, pulled feet-first at high speed to clearing facing angry figure.</t>
  </si>
  <si>
    <t>CNS|DIS|ENT</t>
  </si>
  <si>
    <t>Hollow dome</t>
  </si>
  <si>
    <t>Giant dome interior</t>
  </si>
  <si>
    <t>Inside giant stepped dome with long line of people; struggles with vertical movement, finds exit path.</t>
  </si>
  <si>
    <t>Campus flyover</t>
  </si>
  <si>
    <t>Campus and fields</t>
  </si>
  <si>
    <t>Flying over campus, then lying in grass knoll while semi-lucid.</t>
  </si>
  <si>
    <t>Carrier vessels flip</t>
  </si>
  <si>
    <t>Aerial / ocean view</t>
  </si>
  <si>
    <t>Passenger plane view shifts to unusual carrier-like vessels flipping in air.</t>
  </si>
  <si>
    <t>Terminal building</t>
  </si>
  <si>
    <t>Waiting with military and civilians for helicopter deployment for urgent operation.</t>
  </si>
  <si>
    <t>ENV|ENT</t>
  </si>
  <si>
    <t>Dual-vision</t>
  </si>
  <si>
    <t>Bedroom + open sky</t>
  </si>
  <si>
    <t>Wakes from lucid state seeing bedroom and open sky of stars simultaneously, rapid toggling.</t>
  </si>
  <si>
    <t>Metallic restraint room</t>
  </si>
  <si>
    <t>Metallic room</t>
  </si>
  <si>
    <t>Becomes conscious in metallic room with multiple figures and partial restraint.</t>
  </si>
  <si>
    <t>ENT|ENV|CNS</t>
  </si>
  <si>
    <t>Violet bilocation</t>
  </si>
  <si>
    <t>9-Dec-2024</t>
  </si>
  <si>
    <t>51</t>
  </si>
  <si>
    <t>Perth + other locales</t>
  </si>
  <si>
    <t>OBE/bilocation with child rotating body, female figure 'Violet', then debrief room with male humans and future imagery.</t>
  </si>
  <si>
    <t>CNS|DIS|ENT|TMP|SYM|ENV</t>
  </si>
  <si>
    <t>Diamond/orb tent</t>
  </si>
  <si>
    <t>29-Jan-2025</t>
  </si>
  <si>
    <t>52</t>
  </si>
  <si>
    <t>WA beach campsite</t>
  </si>
  <si>
    <t>Multiple small diamond-in-orb structures in tent and sky; recurring 5-sided motif and erratic aerial lights.</t>
  </si>
  <si>
    <t>GEO|TMP|ENV</t>
  </si>
  <si>
    <t>Sentinel vessel</t>
  </si>
  <si>
    <t>3-Feb-2025</t>
  </si>
  <si>
    <t>Large vessel (location unclear)</t>
  </si>
  <si>
    <t>Extended OBE/bilocation on large vessel with security sentinel in jumpsuit, discussion of coming operation and telekinesis abilities.</t>
  </si>
  <si>
    <t>CNS|DIS|ENT|TMP|ENV|SYM</t>
  </si>
  <si>
    <t>Ring facility+craft</t>
  </si>
  <si>
    <t>21-Mar-2025</t>
  </si>
  <si>
    <t>Hill facility + reception hall</t>
  </si>
  <si>
    <t>Sequence of building work, family pool scene, then hillside ring machine and large square craft transporting people to reception complex.</t>
  </si>
  <si>
    <t>GEO|DIS|ENV|ENT|TMP</t>
  </si>
  <si>
    <t>Sandy Cape</t>
  </si>
  <si>
    <t>14-Apr-2025</t>
  </si>
  <si>
    <t>Sandy Cape campground, WA</t>
  </si>
  <si>
    <t>Reflecting on hill facility dream and ring structures; later polygon UAP filmed with helicopter presence, confirming earlier symbolism.</t>
  </si>
  <si>
    <t>Learning centre</t>
  </si>
  <si>
    <t>27-Apr-2025</t>
  </si>
  <si>
    <t>Circular hall / learning centre</t>
  </si>
  <si>
    <t>Transition from stellar-tissue overlay vision into large circular mezzanine library-like facility with humans in seminars.</t>
  </si>
  <si>
    <t>CNS|STK|ENV|ENT</t>
  </si>
  <si>
    <t>Pine sequence</t>
  </si>
  <si>
    <t>2-Sep-2025</t>
  </si>
  <si>
    <t>Multi-scene training space</t>
  </si>
  <si>
    <t>Trigger word 'pine' enables teleportation to tree, door, and layered scenes (car, wave, tram) plus jelly-like tube descent.</t>
  </si>
  <si>
    <t>CNS|DIS|STK|TMP|ENV|SYM</t>
  </si>
  <si>
    <t>Telekinesis + boy</t>
  </si>
  <si>
    <t>13-Sep-2025</t>
  </si>
  <si>
    <t>Estate complex + bedroom</t>
  </si>
  <si>
    <t>Telekinetic attempts using 'pine' leading to head pain and object inversion, followed by bedside visit from young boy with paper.</t>
  </si>
  <si>
    <t>CNS|SYM|TMP|ENV</t>
  </si>
  <si>
    <t>Teleport to UK</t>
  </si>
  <si>
    <t>6-Nov-2025</t>
  </si>
  <si>
    <t>Perth studio → causeway → Heath, UK</t>
  </si>
  <si>
    <t>Guided from bed along blurred causeway, teleported via concentric rings to old room with dogs in English village.</t>
  </si>
  <si>
    <t>CNS|DIS|GEO|ENV|ENT</t>
  </si>
  <si>
    <t>Encounter_Count</t>
  </si>
  <si>
    <t>Total_Count</t>
  </si>
  <si>
    <t>Step</t>
  </si>
  <si>
    <t>Process</t>
  </si>
  <si>
    <t>Corpus definition</t>
  </si>
  <si>
    <t>Narrative documents and encounter lists defined as primary corpus.</t>
  </si>
  <si>
    <t>Event reconstruction</t>
  </si>
  <si>
    <t>Discrete encounters identified, dated, and assigned to life periods.</t>
  </si>
  <si>
    <t>Taxonomy coding</t>
  </si>
  <si>
    <t>Each encounter coded with one or more category codes (ENT, CNS, etc.).</t>
  </si>
  <si>
    <t>Stage mapping</t>
  </si>
  <si>
    <t>Encounters mapped to developmental stages S1–S6 based on phenomenology and era.</t>
  </si>
  <si>
    <t>Matrix construction</t>
  </si>
  <si>
    <t>Excel formulas (COUNTIF/COUNTIFS) build stage counts, period × category matrices, and totals.</t>
  </si>
  <si>
    <t>Reproducibility</t>
  </si>
  <si>
    <t>All counts are formula-driven; editing Raw_Encounters updates all summary tables automatically.</t>
  </si>
  <si>
    <t>Parent_Encounter_ID</t>
  </si>
  <si>
    <t>Event_Type</t>
  </si>
  <si>
    <t>Sub-phase: Pine→Teleportation jump</t>
  </si>
  <si>
    <t>CNS|DIS|ENV|SYM</t>
  </si>
  <si>
    <t>Subphase</t>
  </si>
  <si>
    <t>Sub-phase: Door unlock attempt</t>
  </si>
  <si>
    <t>Sub-phase: Car-layer scene</t>
  </si>
  <si>
    <t>Sub-phase: Wave-layer scene</t>
  </si>
  <si>
    <t>Sub-phase: Tram-layer scene</t>
  </si>
  <si>
    <t>Sub-phase: Jelly tube descent</t>
  </si>
  <si>
    <t>Sub-phase: Telekinesis micro-attempt</t>
  </si>
  <si>
    <t>Sub-phase: Object inversion moment</t>
  </si>
  <si>
    <t>Sub-phase: Boy's paper handover</t>
  </si>
  <si>
    <t>Sub-phase: Facility rooftop sequence</t>
  </si>
  <si>
    <t>Sub-phase: Ring machine close-up</t>
  </si>
  <si>
    <t>Sub-phase: Craft approach phase</t>
  </si>
  <si>
    <t>Sub-phase: Escort causeway walk</t>
  </si>
  <si>
    <t>Sub-phase: Dog-room orientation</t>
  </si>
  <si>
    <t>Sub-phase: Corridor entry</t>
  </si>
  <si>
    <t>Sub-phase: Orb interior observation</t>
  </si>
  <si>
    <t>Sub-phase: Second orb collapse</t>
  </si>
  <si>
    <t>Sub-phase: Shuttle landing moment</t>
  </si>
  <si>
    <t>Sub-phase: Sentinel ankle-ring fitting</t>
  </si>
  <si>
    <t>Sub-phase: Starfield clearing</t>
  </si>
  <si>
    <t>Sub-phase: Tissue overlay vision</t>
  </si>
  <si>
    <t>Sub-phase: Library mezzanine flight</t>
  </si>
  <si>
    <t>Primary</t>
  </si>
  <si>
    <t>Encounter_Count_63</t>
  </si>
  <si>
    <t>Total_Count_63</t>
  </si>
  <si>
    <t>Primary_Encounter_ID</t>
  </si>
  <si>
    <t>Num_Subphases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</si>
</sst>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22/11/relationships/FeaturePropertyBag" Target="featurePropertyBag/featurePropertyBag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Stage Counts (41 Primary Encounters)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Stage_Counts!$C$1</c:f>
              <c:strCache>
                <c:ptCount val="1"/>
                <c:pt idx="0">
                  <c:v>Encounter_Count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prstDash val="solid"/>
            </a:ln>
          </c:spPr>
          <c:invertIfNegative val="0"/>
          <c:cat>
            <c:strRef>
              <c:f>Stage_Counts!$B$2:$B$7</c:f>
              <c:strCache>
                <c:ptCount val="6"/>
                <c:pt idx="0">
                  <c:v>Stage 1 – Raw Exposure</c:v>
                </c:pt>
                <c:pt idx="1">
                  <c:v>Stage 2 – Threshold Disturbance</c:v>
                </c:pt>
                <c:pt idx="2">
                  <c:v>Stage 3 – 4D Interference</c:v>
                </c:pt>
                <c:pt idx="3">
                  <c:v>Stage 4 – Symbolic Integration</c:v>
                </c:pt>
                <c:pt idx="4">
                  <c:v>Stage 5 – Technical Demonstration</c:v>
                </c:pt>
                <c:pt idx="5">
                  <c:v>Stage 6 – Orientation</c:v>
                </c:pt>
              </c:strCache>
            </c:strRef>
          </c:cat>
          <c:val>
            <c:numRef>
              <c:f>Stage_Counts!$C$2:$C$7</c:f>
              <c:numCache>
                <c:formatCode>General</c:formatCode>
                <c:ptCount val="6"/>
                <c:pt idx="0">
                  <c:v>3</c:v>
                </c:pt>
                <c:pt idx="1">
                  <c:v>2</c:v>
                </c:pt>
                <c:pt idx="2">
                  <c:v>11</c:v>
                </c:pt>
                <c:pt idx="3">
                  <c:v>1</c:v>
                </c:pt>
                <c:pt idx="4">
                  <c:v>22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C2-4B4A-9B56-CA61E83F5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Stage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  <c:max val="6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Life Period × Category (41 Primary Encounters)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LifePeriod_by_Category!$B$1</c:f>
              <c:strCache>
                <c:ptCount val="1"/>
                <c:pt idx="0">
                  <c:v>Entities / NHI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LifePeriod_by_Category!$B$2:$B$10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6</c:v>
                </c:pt>
                <c:pt idx="4">
                  <c:v>1</c:v>
                </c:pt>
                <c:pt idx="5">
                  <c:v>7</c:v>
                </c:pt>
                <c:pt idx="6">
                  <c:v>1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0-49CD-B126-9EA3A699C972}"/>
            </c:ext>
          </c:extLst>
        </c:ser>
        <c:ser>
          <c:idx val="1"/>
          <c:order val="1"/>
          <c:tx>
            <c:strRef>
              <c:f>LifePeriod_by_Category!$C$1</c:f>
              <c:strCache>
                <c:ptCount val="1"/>
                <c:pt idx="0">
                  <c:v>Consciousness State Alteration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LifePeriod_by_Category!$C$2:$C$10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1</c:v>
                </c:pt>
                <c:pt idx="5">
                  <c:v>8</c:v>
                </c:pt>
                <c:pt idx="6">
                  <c:v>1</c:v>
                </c:pt>
                <c:pt idx="7">
                  <c:v>1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0-49CD-B126-9EA3A699C972}"/>
            </c:ext>
          </c:extLst>
        </c:ser>
        <c:ser>
          <c:idx val="2"/>
          <c:order val="2"/>
          <c:tx>
            <c:strRef>
              <c:f>LifePeriod_by_Category!$D$1</c:f>
              <c:strCache>
                <c:ptCount val="1"/>
                <c:pt idx="0">
                  <c:v>Spatial Displacement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LifePeriod_by_Category!$D$2:$D$10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0-49CD-B126-9EA3A699C972}"/>
            </c:ext>
          </c:extLst>
        </c:ser>
        <c:ser>
          <c:idx val="3"/>
          <c:order val="3"/>
          <c:tx>
            <c:strRef>
              <c:f>LifePeriod_by_Category!$E$1</c:f>
              <c:strCache>
                <c:ptCount val="1"/>
                <c:pt idx="0">
                  <c:v>Geometric / Energetic Phenomena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LifePeriod_by_Category!$E$2:$E$10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D0-49CD-B126-9EA3A699C972}"/>
            </c:ext>
          </c:extLst>
        </c:ser>
        <c:ser>
          <c:idx val="4"/>
          <c:order val="4"/>
          <c:tx>
            <c:strRef>
              <c:f>LifePeriod_by_Category!$F$1</c:f>
              <c:strCache>
                <c:ptCount val="1"/>
                <c:pt idx="0">
                  <c:v>Stacked Rooms / Layered Environment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LifePeriod_by_Category!$F$2:$F$10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D0-49CD-B126-9EA3A699C972}"/>
            </c:ext>
          </c:extLst>
        </c:ser>
        <c:ser>
          <c:idx val="5"/>
          <c:order val="5"/>
          <c:tx>
            <c:strRef>
              <c:f>LifePeriod_by_Category!$G$1</c:f>
              <c:strCache>
                <c:ptCount val="1"/>
                <c:pt idx="0">
                  <c:v>Temporal / Precognitive Effects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LifePeriod_by_Category!$G$2:$G$10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4D0-49CD-B126-9EA3A699C972}"/>
            </c:ext>
          </c:extLst>
        </c:ser>
        <c:ser>
          <c:idx val="6"/>
          <c:order val="6"/>
          <c:tx>
            <c:strRef>
              <c:f>LifePeriod_by_Category!$H$1</c:f>
              <c:strCache>
                <c:ptCount val="1"/>
                <c:pt idx="0">
                  <c:v>Somatic Traces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LifePeriod_by_Category!$H$2:$H$10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D0-49CD-B126-9EA3A699C972}"/>
            </c:ext>
          </c:extLst>
        </c:ser>
        <c:ser>
          <c:idx val="7"/>
          <c:order val="7"/>
          <c:tx>
            <c:strRef>
              <c:f>LifePeriod_by_Category!$I$1</c:f>
              <c:strCache>
                <c:ptCount val="1"/>
                <c:pt idx="0">
                  <c:v>Symbolic Gestures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LifePeriod_by_Category!$I$2:$I$10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4D0-49CD-B126-9EA3A699C972}"/>
            </c:ext>
          </c:extLst>
        </c:ser>
        <c:ser>
          <c:idx val="8"/>
          <c:order val="8"/>
          <c:tx>
            <c:strRef>
              <c:f>LifePeriod_by_Category!$J$1</c:f>
              <c:strCache>
                <c:ptCount val="1"/>
                <c:pt idx="0">
                  <c:v>Environmental Reconstruction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LifePeriod_by_Category!$J$2:$J$10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10</c:v>
                </c:pt>
                <c:pt idx="6">
                  <c:v>1</c:v>
                </c:pt>
                <c:pt idx="7">
                  <c:v>1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4D0-49CD-B126-9EA3A699C972}"/>
            </c:ext>
          </c:extLst>
        </c:ser>
        <c:ser>
          <c:idx val="9"/>
          <c:order val="9"/>
          <c:tx>
            <c:strRef>
              <c:f>LifePeriod_by_Category!$K$1</c:f>
              <c:strCache>
                <c:ptCount val="1"/>
                <c:pt idx="0">
                  <c:v>4D Orientation Events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LifePeriod_by_Category!$A$2:$A$10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LifePeriod_by_Category!$K$2:$K$10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4D0-49CD-B126-9EA3A699C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Life Period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LifePeriod_by_Category!$A$2</c:f>
              <c:strCache>
                <c:ptCount val="1"/>
                <c:pt idx="0">
                  <c:v>Childhood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LifePeriod_by_Category!$B$1:$K$1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LifePeriod_by_Category!$B$2:$K$2</c:f>
              <c:numCache>
                <c:formatCode>General</c:formatCode>
                <c:ptCount val="10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22-430C-9EA6-08725A4D930C}"/>
            </c:ext>
          </c:extLst>
        </c:ser>
        <c:ser>
          <c:idx val="1"/>
          <c:order val="1"/>
          <c:tx>
            <c:strRef>
              <c:f>LifePeriod_by_Category!$A$3</c:f>
              <c:strCache>
                <c:ptCount val="1"/>
                <c:pt idx="0">
                  <c:v>Teens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LifePeriod_by_Category!$B$1:$K$1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LifePeriod_by_Category!$B$3:$K$3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22-430C-9EA6-08725A4D930C}"/>
            </c:ext>
          </c:extLst>
        </c:ser>
        <c:ser>
          <c:idx val="2"/>
          <c:order val="2"/>
          <c:tx>
            <c:strRef>
              <c:f>LifePeriod_by_Category!$A$4</c:f>
              <c:strCache>
                <c:ptCount val="1"/>
                <c:pt idx="0">
                  <c:v>20s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LifePeriod_by_Category!$B$1:$K$1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LifePeriod_by_Category!$B$4:$K$4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22-430C-9EA6-08725A4D930C}"/>
            </c:ext>
          </c:extLst>
        </c:ser>
        <c:ser>
          <c:idx val="3"/>
          <c:order val="3"/>
          <c:tx>
            <c:strRef>
              <c:f>LifePeriod_by_Category!$A$5</c:f>
              <c:strCache>
                <c:ptCount val="1"/>
                <c:pt idx="0">
                  <c:v>30s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LifePeriod_by_Category!$B$1:$K$1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LifePeriod_by_Category!$B$5:$K$5</c:f>
              <c:numCache>
                <c:formatCode>General</c:formatCode>
                <c:ptCount val="10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22-430C-9EA6-08725A4D930C}"/>
            </c:ext>
          </c:extLst>
        </c:ser>
        <c:ser>
          <c:idx val="4"/>
          <c:order val="4"/>
          <c:tx>
            <c:strRef>
              <c:f>LifePeriod_by_Category!$A$6</c:f>
              <c:strCache>
                <c:ptCount val="1"/>
                <c:pt idx="0">
                  <c:v>40s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LifePeriod_by_Category!$B$1:$K$1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LifePeriod_by_Category!$B$6:$K$6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22-430C-9EA6-08725A4D930C}"/>
            </c:ext>
          </c:extLst>
        </c:ser>
        <c:ser>
          <c:idx val="5"/>
          <c:order val="5"/>
          <c:tx>
            <c:strRef>
              <c:f>LifePeriod_by_Category!$A$7</c:f>
              <c:strCache>
                <c:ptCount val="1"/>
                <c:pt idx="0">
                  <c:v>2019–2022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LifePeriod_by_Category!$B$1:$K$1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LifePeriod_by_Category!$B$7:$K$7</c:f>
              <c:numCache>
                <c:formatCode>General</c:formatCode>
                <c:ptCount val="10"/>
                <c:pt idx="0">
                  <c:v>7</c:v>
                </c:pt>
                <c:pt idx="1">
                  <c:v>8</c:v>
                </c:pt>
                <c:pt idx="2">
                  <c:v>3</c:v>
                </c:pt>
                <c:pt idx="3">
                  <c:v>3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22-430C-9EA6-08725A4D930C}"/>
            </c:ext>
          </c:extLst>
        </c:ser>
        <c:ser>
          <c:idx val="6"/>
          <c:order val="6"/>
          <c:tx>
            <c:strRef>
              <c:f>LifePeriod_by_Category!$A$8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LifePeriod_by_Category!$B$1:$K$1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LifePeriod_by_Category!$B$8:$K$8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22-430C-9EA6-08725A4D930C}"/>
            </c:ext>
          </c:extLst>
        </c:ser>
        <c:ser>
          <c:idx val="7"/>
          <c:order val="7"/>
          <c:tx>
            <c:strRef>
              <c:f>LifePeriod_by_Category!$A$9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LifePeriod_by_Category!$B$1:$K$1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LifePeriod_by_Category!$B$9:$K$9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622-430C-9EA6-08725A4D930C}"/>
            </c:ext>
          </c:extLst>
        </c:ser>
        <c:ser>
          <c:idx val="8"/>
          <c:order val="8"/>
          <c:tx>
            <c:strRef>
              <c:f>LifePeriod_by_Category!$A$10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LifePeriod_by_Category!$B$1:$K$1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LifePeriod_by_Category!$B$10:$K$10</c:f>
              <c:numCache>
                <c:formatCode>General</c:formatCode>
                <c:ptCount val="10"/>
                <c:pt idx="0">
                  <c:v>4</c:v>
                </c:pt>
                <c:pt idx="1">
                  <c:v>5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  <c:pt idx="5">
                  <c:v>6</c:v>
                </c:pt>
                <c:pt idx="6">
                  <c:v>0</c:v>
                </c:pt>
                <c:pt idx="7">
                  <c:v>3</c:v>
                </c:pt>
                <c:pt idx="8">
                  <c:v>8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622-430C-9EA6-08725A4D9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8948880"/>
        <c:axId val="1238958960"/>
      </c:barChart>
      <c:catAx>
        <c:axId val="12389488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58960"/>
        <c:crosses val="autoZero"/>
        <c:auto val="1"/>
        <c:lblAlgn val="ctr"/>
        <c:lblOffset val="100"/>
        <c:noMultiLvlLbl val="0"/>
      </c:catAx>
      <c:valAx>
        <c:axId val="1238958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8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Category Totals (41 Primary Encounters)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Category_Totals!$C$1</c:f>
              <c:strCache>
                <c:ptCount val="1"/>
                <c:pt idx="0">
                  <c:v>Total_Count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prstDash val="solid"/>
            </a:ln>
          </c:spPr>
          <c:invertIfNegative val="0"/>
          <c:cat>
            <c:strRef>
              <c:f>Category_Totals!$B$2:$B$11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Category_Totals!$C$2:$C$11</c:f>
              <c:numCache>
                <c:formatCode>General</c:formatCode>
                <c:ptCount val="10"/>
                <c:pt idx="0">
                  <c:v>24</c:v>
                </c:pt>
                <c:pt idx="1">
                  <c:v>29</c:v>
                </c:pt>
                <c:pt idx="2">
                  <c:v>13</c:v>
                </c:pt>
                <c:pt idx="3">
                  <c:v>7</c:v>
                </c:pt>
                <c:pt idx="4">
                  <c:v>2</c:v>
                </c:pt>
                <c:pt idx="5">
                  <c:v>10</c:v>
                </c:pt>
                <c:pt idx="6">
                  <c:v>3</c:v>
                </c:pt>
                <c:pt idx="7">
                  <c:v>8</c:v>
                </c:pt>
                <c:pt idx="8">
                  <c:v>25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08-4CE6-A49F-DA484CFD6F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Category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  <c:max val="6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Stage Counts (63 Analytic Units)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Stage_Counts_63!$C$1</c:f>
              <c:strCache>
                <c:ptCount val="1"/>
                <c:pt idx="0">
                  <c:v>Encounter_Count_63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prstDash val="solid"/>
            </a:ln>
          </c:spPr>
          <c:invertIfNegative val="0"/>
          <c:cat>
            <c:strRef>
              <c:f>Stage_Counts_63!$B$2:$B$7</c:f>
              <c:strCache>
                <c:ptCount val="6"/>
                <c:pt idx="0">
                  <c:v>Stage 1 – Raw Exposure</c:v>
                </c:pt>
                <c:pt idx="1">
                  <c:v>Stage 2 – Threshold Disturbance</c:v>
                </c:pt>
                <c:pt idx="2">
                  <c:v>Stage 3 – 4D Interference</c:v>
                </c:pt>
                <c:pt idx="3">
                  <c:v>Stage 4 – Symbolic Integration</c:v>
                </c:pt>
                <c:pt idx="4">
                  <c:v>Stage 5 – Technical Demonstration</c:v>
                </c:pt>
                <c:pt idx="5">
                  <c:v>Stage 6 – Orientation</c:v>
                </c:pt>
              </c:strCache>
            </c:strRef>
          </c:cat>
          <c:val>
            <c:numRef>
              <c:f>Stage_Counts_63!$C$2:$C$7</c:f>
              <c:numCache>
                <c:formatCode>General</c:formatCode>
                <c:ptCount val="6"/>
                <c:pt idx="0">
                  <c:v>3</c:v>
                </c:pt>
                <c:pt idx="1">
                  <c:v>2</c:v>
                </c:pt>
                <c:pt idx="2">
                  <c:v>11</c:v>
                </c:pt>
                <c:pt idx="3">
                  <c:v>1</c:v>
                </c:pt>
                <c:pt idx="4">
                  <c:v>38</c:v>
                </c:pt>
                <c:pt idx="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2D-48B4-AE38-D53B5C85A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Stage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  <c:max val="6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Life Period × Category (63 Analytic Units)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LifePeriod_by_Category_63!$B$1</c:f>
              <c:strCache>
                <c:ptCount val="1"/>
                <c:pt idx="0">
                  <c:v>Entities / NHI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LifePeriod_by_Category_63!$B$2:$B$14</c:f>
              <c:numCache>
                <c:formatCode>General</c:formatCode>
                <c:ptCount val="13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6</c:v>
                </c:pt>
                <c:pt idx="4">
                  <c:v>1</c:v>
                </c:pt>
                <c:pt idx="5">
                  <c:v>7</c:v>
                </c:pt>
                <c:pt idx="6">
                  <c:v>1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4-4347-A00E-599BD42886E1}"/>
            </c:ext>
          </c:extLst>
        </c:ser>
        <c:ser>
          <c:idx val="1"/>
          <c:order val="1"/>
          <c:tx>
            <c:strRef>
              <c:f>LifePeriod_by_Category_63!$C$1</c:f>
              <c:strCache>
                <c:ptCount val="1"/>
                <c:pt idx="0">
                  <c:v>Consciousness State Alteration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LifePeriod_by_Category_63!$C$2:$C$14</c:f>
              <c:numCache>
                <c:formatCode>General</c:formatCode>
                <c:ptCount val="13"/>
                <c:pt idx="0">
                  <c:v>3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1</c:v>
                </c:pt>
                <c:pt idx="5">
                  <c:v>8</c:v>
                </c:pt>
                <c:pt idx="6">
                  <c:v>1</c:v>
                </c:pt>
                <c:pt idx="7">
                  <c:v>2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14-4347-A00E-599BD42886E1}"/>
            </c:ext>
          </c:extLst>
        </c:ser>
        <c:ser>
          <c:idx val="2"/>
          <c:order val="2"/>
          <c:tx>
            <c:strRef>
              <c:f>LifePeriod_by_Category_63!$D$1</c:f>
              <c:strCache>
                <c:ptCount val="1"/>
                <c:pt idx="0">
                  <c:v>Spatial Displacement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LifePeriod_by_Category_63!$D$2:$D$14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2</c:v>
                </c:pt>
                <c:pt idx="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14-4347-A00E-599BD42886E1}"/>
            </c:ext>
          </c:extLst>
        </c:ser>
        <c:ser>
          <c:idx val="3"/>
          <c:order val="3"/>
          <c:tx>
            <c:strRef>
              <c:f>LifePeriod_by_Category_63!$E$1</c:f>
              <c:strCache>
                <c:ptCount val="1"/>
                <c:pt idx="0">
                  <c:v>Geometric / Energetic Phenomena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LifePeriod_by_Category_63!$E$2:$E$14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14-4347-A00E-599BD42886E1}"/>
            </c:ext>
          </c:extLst>
        </c:ser>
        <c:ser>
          <c:idx val="4"/>
          <c:order val="4"/>
          <c:tx>
            <c:strRef>
              <c:f>LifePeriod_by_Category_63!$F$1</c:f>
              <c:strCache>
                <c:ptCount val="1"/>
                <c:pt idx="0">
                  <c:v>Stacked Rooms / Layered Environment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LifePeriod_by_Category_63!$F$2:$F$14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14-4347-A00E-599BD42886E1}"/>
            </c:ext>
          </c:extLst>
        </c:ser>
        <c:ser>
          <c:idx val="5"/>
          <c:order val="5"/>
          <c:tx>
            <c:strRef>
              <c:f>LifePeriod_by_Category_63!$G$1</c:f>
              <c:strCache>
                <c:ptCount val="1"/>
                <c:pt idx="0">
                  <c:v>Temporal / Precognitive Effects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LifePeriod_by_Category_63!$G$2:$G$14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914-4347-A00E-599BD42886E1}"/>
            </c:ext>
          </c:extLst>
        </c:ser>
        <c:ser>
          <c:idx val="6"/>
          <c:order val="6"/>
          <c:tx>
            <c:strRef>
              <c:f>LifePeriod_by_Category_63!$H$1</c:f>
              <c:strCache>
                <c:ptCount val="1"/>
                <c:pt idx="0">
                  <c:v>Somatic Traces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LifePeriod_by_Category_63!$H$2:$H$14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4-4347-A00E-599BD42886E1}"/>
            </c:ext>
          </c:extLst>
        </c:ser>
        <c:ser>
          <c:idx val="7"/>
          <c:order val="7"/>
          <c:tx>
            <c:strRef>
              <c:f>LifePeriod_by_Category_63!$I$1</c:f>
              <c:strCache>
                <c:ptCount val="1"/>
                <c:pt idx="0">
                  <c:v>Symbolic Gestures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LifePeriod_by_Category_63!$I$2:$I$14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4-4347-A00E-599BD42886E1}"/>
            </c:ext>
          </c:extLst>
        </c:ser>
        <c:ser>
          <c:idx val="8"/>
          <c:order val="8"/>
          <c:tx>
            <c:strRef>
              <c:f>LifePeriod_by_Category_63!$J$1</c:f>
              <c:strCache>
                <c:ptCount val="1"/>
                <c:pt idx="0">
                  <c:v>Environmental Reconstruction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LifePeriod_by_Category_63!$J$2:$J$14</c:f>
              <c:numCache>
                <c:formatCode>General</c:formatCode>
                <c:ptCount val="13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10</c:v>
                </c:pt>
                <c:pt idx="6">
                  <c:v>1</c:v>
                </c:pt>
                <c:pt idx="7">
                  <c:v>2</c:v>
                </c:pt>
                <c:pt idx="8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14-4347-A00E-599BD42886E1}"/>
            </c:ext>
          </c:extLst>
        </c:ser>
        <c:ser>
          <c:idx val="9"/>
          <c:order val="9"/>
          <c:tx>
            <c:strRef>
              <c:f>LifePeriod_by_Category_63!$K$1</c:f>
              <c:strCache>
                <c:ptCount val="1"/>
                <c:pt idx="0">
                  <c:v>4D Orientation Events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LifePeriod_by_Category_63!$A$2:$A$14</c:f>
              <c:strCache>
                <c:ptCount val="9"/>
                <c:pt idx="0">
                  <c:v>Childhood</c:v>
                </c:pt>
                <c:pt idx="1">
                  <c:v>Teens</c:v>
                </c:pt>
                <c:pt idx="2">
                  <c:v>20s</c:v>
                </c:pt>
                <c:pt idx="3">
                  <c:v>30s</c:v>
                </c:pt>
                <c:pt idx="4">
                  <c:v>40s</c:v>
                </c:pt>
                <c:pt idx="5">
                  <c:v>2019–2022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LifePeriod_by_Category_63!$K$2:$K$14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914-4347-A00E-599BD4288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Life Period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LifePeriod_by_Category_63!$A$2</c:f>
              <c:strCache>
                <c:ptCount val="1"/>
                <c:pt idx="0">
                  <c:v>Childhood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LifePeriod_by_Category_63!$B$1:$K$1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LifePeriod_by_Category_63!$B$2:$K$2</c:f>
              <c:numCache>
                <c:formatCode>General</c:formatCode>
                <c:ptCount val="10"/>
                <c:pt idx="0">
                  <c:v>3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6-4FF3-9512-E6AEA0355CB6}"/>
            </c:ext>
          </c:extLst>
        </c:ser>
        <c:ser>
          <c:idx val="1"/>
          <c:order val="1"/>
          <c:tx>
            <c:strRef>
              <c:f>LifePeriod_by_Category_63!$A$3</c:f>
              <c:strCache>
                <c:ptCount val="1"/>
                <c:pt idx="0">
                  <c:v>Teens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LifePeriod_by_Category_63!$B$1:$K$1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LifePeriod_by_Category_63!$B$3:$K$3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6-4FF3-9512-E6AEA0355CB6}"/>
            </c:ext>
          </c:extLst>
        </c:ser>
        <c:ser>
          <c:idx val="2"/>
          <c:order val="2"/>
          <c:tx>
            <c:strRef>
              <c:f>LifePeriod_by_Category_63!$A$4</c:f>
              <c:strCache>
                <c:ptCount val="1"/>
                <c:pt idx="0">
                  <c:v>20s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LifePeriod_by_Category_63!$B$1:$K$1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LifePeriod_by_Category_63!$B$4:$K$4</c:f>
              <c:numCache>
                <c:formatCode>General</c:formatCode>
                <c:ptCount val="10"/>
                <c:pt idx="0">
                  <c:v>0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D6-4FF3-9512-E6AEA0355CB6}"/>
            </c:ext>
          </c:extLst>
        </c:ser>
        <c:ser>
          <c:idx val="3"/>
          <c:order val="3"/>
          <c:tx>
            <c:strRef>
              <c:f>LifePeriod_by_Category_63!$A$5</c:f>
              <c:strCache>
                <c:ptCount val="1"/>
                <c:pt idx="0">
                  <c:v>30s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LifePeriod_by_Category_63!$B$1:$K$1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LifePeriod_by_Category_63!$B$5:$K$5</c:f>
              <c:numCache>
                <c:formatCode>General</c:formatCode>
                <c:ptCount val="10"/>
                <c:pt idx="0">
                  <c:v>6</c:v>
                </c:pt>
                <c:pt idx="1">
                  <c:v>6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D6-4FF3-9512-E6AEA0355CB6}"/>
            </c:ext>
          </c:extLst>
        </c:ser>
        <c:ser>
          <c:idx val="4"/>
          <c:order val="4"/>
          <c:tx>
            <c:strRef>
              <c:f>LifePeriod_by_Category_63!$A$6</c:f>
              <c:strCache>
                <c:ptCount val="1"/>
                <c:pt idx="0">
                  <c:v>40s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LifePeriod_by_Category_63!$B$1:$K$1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LifePeriod_by_Category_63!$B$6:$K$6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D6-4FF3-9512-E6AEA0355CB6}"/>
            </c:ext>
          </c:extLst>
        </c:ser>
        <c:ser>
          <c:idx val="5"/>
          <c:order val="5"/>
          <c:tx>
            <c:strRef>
              <c:f>LifePeriod_by_Category_63!$A$7</c:f>
              <c:strCache>
                <c:ptCount val="1"/>
                <c:pt idx="0">
                  <c:v>2019–2022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LifePeriod_by_Category_63!$B$1:$K$1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LifePeriod_by_Category_63!$B$7:$K$7</c:f>
              <c:numCache>
                <c:formatCode>General</c:formatCode>
                <c:ptCount val="10"/>
                <c:pt idx="0">
                  <c:v>7</c:v>
                </c:pt>
                <c:pt idx="1">
                  <c:v>8</c:v>
                </c:pt>
                <c:pt idx="2">
                  <c:v>3</c:v>
                </c:pt>
                <c:pt idx="3">
                  <c:v>3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10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D6-4FF3-9512-E6AEA0355CB6}"/>
            </c:ext>
          </c:extLst>
        </c:ser>
        <c:ser>
          <c:idx val="6"/>
          <c:order val="6"/>
          <c:tx>
            <c:strRef>
              <c:f>LifePeriod_by_Category_63!$A$8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LifePeriod_by_Category_63!$B$1:$K$1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LifePeriod_by_Category_63!$B$8:$K$8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D6-4FF3-9512-E6AEA0355CB6}"/>
            </c:ext>
          </c:extLst>
        </c:ser>
        <c:ser>
          <c:idx val="7"/>
          <c:order val="7"/>
          <c:tx>
            <c:strRef>
              <c:f>LifePeriod_by_Category_63!$A$9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LifePeriod_by_Category_63!$B$1:$K$1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LifePeriod_by_Category_63!$B$9:$K$9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7D6-4FF3-9512-E6AEA0355CB6}"/>
            </c:ext>
          </c:extLst>
        </c:ser>
        <c:ser>
          <c:idx val="8"/>
          <c:order val="8"/>
          <c:tx>
            <c:strRef>
              <c:f>LifePeriod_by_Category_63!$A$10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LifePeriod_by_Category_63!$B$1:$K$1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LifePeriod_by_Category_63!$B$10:$K$10</c:f>
              <c:numCache>
                <c:formatCode>General</c:formatCode>
                <c:ptCount val="10"/>
                <c:pt idx="0">
                  <c:v>4</c:v>
                </c:pt>
                <c:pt idx="1">
                  <c:v>26</c:v>
                </c:pt>
                <c:pt idx="2">
                  <c:v>25</c:v>
                </c:pt>
                <c:pt idx="3">
                  <c:v>4</c:v>
                </c:pt>
                <c:pt idx="4">
                  <c:v>2</c:v>
                </c:pt>
                <c:pt idx="5">
                  <c:v>6</c:v>
                </c:pt>
                <c:pt idx="6">
                  <c:v>0</c:v>
                </c:pt>
                <c:pt idx="7">
                  <c:v>24</c:v>
                </c:pt>
                <c:pt idx="8">
                  <c:v>29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7D6-4FF3-9512-E6AEA0355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38935920"/>
        <c:axId val="1238936400"/>
      </c:barChart>
      <c:catAx>
        <c:axId val="1238935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36400"/>
        <c:crosses val="autoZero"/>
        <c:auto val="1"/>
        <c:lblAlgn val="ctr"/>
        <c:lblOffset val="100"/>
        <c:noMultiLvlLbl val="0"/>
      </c:catAx>
      <c:valAx>
        <c:axId val="1238936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35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Category Totals (63 Analytic Units)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Category_Totals_63!$C$1</c:f>
              <c:strCache>
                <c:ptCount val="1"/>
                <c:pt idx="0">
                  <c:v>Total_Count_63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prstDash val="solid"/>
            </a:ln>
          </c:spPr>
          <c:invertIfNegative val="0"/>
          <c:cat>
            <c:strRef>
              <c:f>Category_Totals_63!$B$2:$B$11</c:f>
              <c:strCache>
                <c:ptCount val="10"/>
                <c:pt idx="0">
                  <c:v>Entities / NHI</c:v>
                </c:pt>
                <c:pt idx="1">
                  <c:v>Consciousness State Alteration</c:v>
                </c:pt>
                <c:pt idx="2">
                  <c:v>Spatial Displacement</c:v>
                </c:pt>
                <c:pt idx="3">
                  <c:v>Geometric / Energetic Phenomena</c:v>
                </c:pt>
                <c:pt idx="4">
                  <c:v>Stacked Rooms / Layered Environment</c:v>
                </c:pt>
                <c:pt idx="5">
                  <c:v>Temporal / Precognitive Effects</c:v>
                </c:pt>
                <c:pt idx="6">
                  <c:v>Somatic Traces</c:v>
                </c:pt>
                <c:pt idx="7">
                  <c:v>Symbolic Gestures</c:v>
                </c:pt>
                <c:pt idx="8">
                  <c:v>Environmental Reconstruction</c:v>
                </c:pt>
                <c:pt idx="9">
                  <c:v>4D Orientation Events</c:v>
                </c:pt>
              </c:strCache>
            </c:strRef>
          </c:cat>
          <c:val>
            <c:numRef>
              <c:f>Category_Totals_63!$C$2:$C$11</c:f>
              <c:numCache>
                <c:formatCode>General</c:formatCode>
                <c:ptCount val="10"/>
                <c:pt idx="0">
                  <c:v>24</c:v>
                </c:pt>
                <c:pt idx="1">
                  <c:v>51</c:v>
                </c:pt>
                <c:pt idx="2">
                  <c:v>35</c:v>
                </c:pt>
                <c:pt idx="3">
                  <c:v>7</c:v>
                </c:pt>
                <c:pt idx="4">
                  <c:v>2</c:v>
                </c:pt>
                <c:pt idx="5">
                  <c:v>10</c:v>
                </c:pt>
                <c:pt idx="6">
                  <c:v>3</c:v>
                </c:pt>
                <c:pt idx="7">
                  <c:v>30</c:v>
                </c:pt>
                <c:pt idx="8">
                  <c:v>47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34-42CA-952A-44ED1511E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Category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Count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AU"/>
              <a:t>Sub-Phase Count per Primary Encounter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Parent_Subphase_Mapping!$C$1</c:f>
              <c:strCache>
                <c:ptCount val="1"/>
                <c:pt idx="0">
                  <c:v>Num_Subphases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prstDash val="solid"/>
            </a:ln>
          </c:spPr>
          <c:invertIfNegative val="0"/>
          <c:cat>
            <c:numRef>
              <c:f>Parent_Subphase_Mapping!$A$2:$A$42</c:f>
              <c:numCache>
                <c:formatCode>General</c:formatCode>
                <c:ptCount val="4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</c:numCache>
            </c:numRef>
          </c:cat>
          <c:val>
            <c:numRef>
              <c:f>Parent_Subphase_Mapping!$C$2:$C$42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2</c:v>
                </c:pt>
                <c:pt idx="34">
                  <c:v>2</c:v>
                </c:pt>
                <c:pt idx="35">
                  <c:v>3</c:v>
                </c:pt>
                <c:pt idx="36">
                  <c:v>0</c:v>
                </c:pt>
                <c:pt idx="37">
                  <c:v>2</c:v>
                </c:pt>
                <c:pt idx="38">
                  <c:v>6</c:v>
                </c:pt>
                <c:pt idx="39">
                  <c:v>3</c:v>
                </c:pt>
                <c:pt idx="4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3F-4560-9F7A-CFEBEFB93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Primary Encounter ID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Number of Sub-Phases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409574</xdr:colOff>
      <xdr:row>1</xdr:row>
      <xdr:rowOff>38099</xdr:rowOff>
    </xdr:from>
    <xdr:ext cx="8124826" cy="45434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180976</xdr:colOff>
      <xdr:row>1</xdr:row>
      <xdr:rowOff>76199</xdr:rowOff>
    </xdr:from>
    <xdr:ext cx="7381874" cy="51149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1</xdr:col>
      <xdr:colOff>114300</xdr:colOff>
      <xdr:row>10</xdr:row>
      <xdr:rowOff>185737</xdr:rowOff>
    </xdr:from>
    <xdr:to>
      <xdr:col>9</xdr:col>
      <xdr:colOff>266700</xdr:colOff>
      <xdr:row>32</xdr:row>
      <xdr:rowOff>9525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005323D-3A59-EB26-4CF1-F7393AC9A3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609598</xdr:colOff>
      <xdr:row>0</xdr:row>
      <xdr:rowOff>190498</xdr:rowOff>
    </xdr:from>
    <xdr:ext cx="12839701" cy="662940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609599</xdr:colOff>
      <xdr:row>0</xdr:row>
      <xdr:rowOff>190498</xdr:rowOff>
    </xdr:from>
    <xdr:ext cx="9829801" cy="502920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333375</xdr:colOff>
      <xdr:row>1</xdr:row>
      <xdr:rowOff>0</xdr:rowOff>
    </xdr:from>
    <xdr:ext cx="7219950" cy="502920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>
    <xdr:from>
      <xdr:col>1</xdr:col>
      <xdr:colOff>190500</xdr:colOff>
      <xdr:row>11</xdr:row>
      <xdr:rowOff>138112</xdr:rowOff>
    </xdr:from>
    <xdr:to>
      <xdr:col>9</xdr:col>
      <xdr:colOff>209550</xdr:colOff>
      <xdr:row>33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ABEE0063-663A-C461-0417-A869341CAA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609599</xdr:colOff>
      <xdr:row>1</xdr:row>
      <xdr:rowOff>0</xdr:rowOff>
    </xdr:from>
    <xdr:ext cx="11934826" cy="6362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190499</xdr:rowOff>
    </xdr:from>
    <xdr:ext cx="5600700" cy="31337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>
      <selection activeCell="H16" sqref="H16"/>
    </sheetView>
  </sheetViews>
  <sheetFormatPr defaultRowHeight="15" x14ac:dyDescent="0.25"/>
  <cols>
    <col min="2" max="2" width="35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B10" sqref="B10"/>
    </sheetView>
  </sheetViews>
  <sheetFormatPr defaultRowHeight="15" x14ac:dyDescent="0.25"/>
  <cols>
    <col min="2" max="2" width="31.85546875" bestFit="1" customWidth="1"/>
  </cols>
  <sheetData>
    <row r="1" spans="1:3" x14ac:dyDescent="0.25">
      <c r="A1" t="s">
        <v>33</v>
      </c>
      <c r="B1" t="s">
        <v>34</v>
      </c>
      <c r="C1" t="s">
        <v>35</v>
      </c>
    </row>
    <row r="2" spans="1:3" x14ac:dyDescent="0.25">
      <c r="A2" t="s">
        <v>36</v>
      </c>
      <c r="B2" t="s">
        <v>37</v>
      </c>
      <c r="C2" t="s">
        <v>38</v>
      </c>
    </row>
    <row r="3" spans="1:3" x14ac:dyDescent="0.25">
      <c r="A3" t="s">
        <v>39</v>
      </c>
      <c r="B3" t="s">
        <v>40</v>
      </c>
      <c r="C3" t="s">
        <v>41</v>
      </c>
    </row>
    <row r="4" spans="1:3" x14ac:dyDescent="0.25">
      <c r="A4" t="s">
        <v>42</v>
      </c>
      <c r="B4" t="s">
        <v>43</v>
      </c>
      <c r="C4" t="s">
        <v>44</v>
      </c>
    </row>
    <row r="5" spans="1:3" x14ac:dyDescent="0.25">
      <c r="A5" t="s">
        <v>45</v>
      </c>
      <c r="B5" t="s">
        <v>46</v>
      </c>
      <c r="C5" t="s">
        <v>47</v>
      </c>
    </row>
    <row r="6" spans="1:3" x14ac:dyDescent="0.25">
      <c r="A6" t="s">
        <v>48</v>
      </c>
      <c r="B6" t="s">
        <v>49</v>
      </c>
      <c r="C6" t="s">
        <v>50</v>
      </c>
    </row>
    <row r="7" spans="1:3" x14ac:dyDescent="0.25">
      <c r="A7" t="s">
        <v>51</v>
      </c>
      <c r="B7" t="s">
        <v>52</v>
      </c>
      <c r="C7" t="s">
        <v>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C13" sqref="C13"/>
    </sheetView>
  </sheetViews>
  <sheetFormatPr defaultRowHeight="15" x14ac:dyDescent="0.25"/>
  <cols>
    <col min="1" max="1" width="11.42578125" customWidth="1"/>
  </cols>
  <sheetData>
    <row r="1" spans="1:3" x14ac:dyDescent="0.25">
      <c r="A1" t="s">
        <v>54</v>
      </c>
      <c r="B1" t="s">
        <v>55</v>
      </c>
      <c r="C1" t="s">
        <v>35</v>
      </c>
    </row>
    <row r="2" spans="1:3" x14ac:dyDescent="0.25">
      <c r="A2" t="s">
        <v>56</v>
      </c>
      <c r="B2" t="s">
        <v>57</v>
      </c>
      <c r="C2" t="s">
        <v>58</v>
      </c>
    </row>
    <row r="3" spans="1:3" x14ac:dyDescent="0.25">
      <c r="A3" t="s">
        <v>59</v>
      </c>
      <c r="B3" t="s">
        <v>60</v>
      </c>
      <c r="C3" t="s">
        <v>61</v>
      </c>
    </row>
    <row r="4" spans="1:3" x14ac:dyDescent="0.25">
      <c r="A4" t="s">
        <v>62</v>
      </c>
      <c r="B4" t="s">
        <v>63</v>
      </c>
      <c r="C4" t="s">
        <v>64</v>
      </c>
    </row>
    <row r="5" spans="1:3" x14ac:dyDescent="0.25">
      <c r="A5" t="s">
        <v>65</v>
      </c>
      <c r="B5" t="s">
        <v>66</v>
      </c>
      <c r="C5" t="s">
        <v>67</v>
      </c>
    </row>
    <row r="6" spans="1:3" x14ac:dyDescent="0.25">
      <c r="A6" t="s">
        <v>68</v>
      </c>
      <c r="B6" t="s">
        <v>69</v>
      </c>
      <c r="C6" t="s">
        <v>70</v>
      </c>
    </row>
    <row r="7" spans="1:3" x14ac:dyDescent="0.25">
      <c r="A7" t="s">
        <v>71</v>
      </c>
      <c r="B7" t="s">
        <v>72</v>
      </c>
      <c r="C7" t="s">
        <v>73</v>
      </c>
    </row>
    <row r="8" spans="1:3" x14ac:dyDescent="0.25">
      <c r="A8" t="s">
        <v>74</v>
      </c>
      <c r="B8" t="s">
        <v>72</v>
      </c>
      <c r="C8" t="s">
        <v>75</v>
      </c>
    </row>
    <row r="9" spans="1:3" x14ac:dyDescent="0.25">
      <c r="A9" t="s">
        <v>76</v>
      </c>
      <c r="B9" t="s">
        <v>77</v>
      </c>
      <c r="C9" t="s">
        <v>78</v>
      </c>
    </row>
    <row r="10" spans="1:3" x14ac:dyDescent="0.25">
      <c r="A10" t="s">
        <v>79</v>
      </c>
      <c r="B10" t="s">
        <v>80</v>
      </c>
      <c r="C10" t="s">
        <v>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topLeftCell="B1" workbookViewId="0">
      <selection activeCell="B4" sqref="B4"/>
    </sheetView>
  </sheetViews>
  <sheetFormatPr defaultRowHeight="15" x14ac:dyDescent="0.25"/>
  <cols>
    <col min="1" max="1" width="12.85546875" bestFit="1" customWidth="1"/>
    <col min="2" max="2" width="25.7109375" bestFit="1" customWidth="1"/>
    <col min="3" max="3" width="12.85546875" bestFit="1" customWidth="1"/>
    <col min="4" max="4" width="13.85546875" bestFit="1" customWidth="1"/>
    <col min="5" max="5" width="35.7109375" bestFit="1" customWidth="1"/>
    <col min="6" max="6" width="126.42578125" bestFit="1" customWidth="1"/>
    <col min="7" max="7" width="11.140625" bestFit="1" customWidth="1"/>
    <col min="8" max="8" width="11.42578125" bestFit="1" customWidth="1"/>
    <col min="9" max="9" width="27.7109375" bestFit="1" customWidth="1"/>
  </cols>
  <sheetData>
    <row r="1" spans="1:9" x14ac:dyDescent="0.25">
      <c r="A1" t="s">
        <v>82</v>
      </c>
      <c r="B1" t="s">
        <v>83</v>
      </c>
      <c r="C1" t="s">
        <v>84</v>
      </c>
      <c r="D1" t="s">
        <v>85</v>
      </c>
      <c r="E1" t="s">
        <v>86</v>
      </c>
      <c r="F1" t="s">
        <v>87</v>
      </c>
      <c r="G1" t="s">
        <v>54</v>
      </c>
      <c r="H1" t="s">
        <v>33</v>
      </c>
      <c r="I1" t="s">
        <v>88</v>
      </c>
    </row>
    <row r="2" spans="1:9" x14ac:dyDescent="0.25">
      <c r="A2">
        <v>1</v>
      </c>
      <c r="B2" t="s">
        <v>89</v>
      </c>
      <c r="C2" t="s">
        <v>90</v>
      </c>
      <c r="D2" t="s">
        <v>91</v>
      </c>
      <c r="E2" t="s">
        <v>92</v>
      </c>
      <c r="F2" t="s">
        <v>93</v>
      </c>
      <c r="G2" t="s">
        <v>56</v>
      </c>
      <c r="H2" t="s">
        <v>36</v>
      </c>
      <c r="I2" t="s">
        <v>94</v>
      </c>
    </row>
    <row r="3" spans="1:9" x14ac:dyDescent="0.25">
      <c r="A3">
        <v>2</v>
      </c>
      <c r="B3" t="s">
        <v>95</v>
      </c>
      <c r="C3" t="s">
        <v>96</v>
      </c>
      <c r="D3" t="s">
        <v>97</v>
      </c>
      <c r="E3" t="s">
        <v>98</v>
      </c>
      <c r="F3" t="s">
        <v>99</v>
      </c>
      <c r="G3" t="s">
        <v>56</v>
      </c>
      <c r="H3" t="s">
        <v>36</v>
      </c>
      <c r="I3" t="s">
        <v>94</v>
      </c>
    </row>
    <row r="4" spans="1:9" x14ac:dyDescent="0.25">
      <c r="A4">
        <v>3</v>
      </c>
      <c r="B4" t="s">
        <v>100</v>
      </c>
      <c r="C4" t="s">
        <v>96</v>
      </c>
      <c r="D4" t="s">
        <v>97</v>
      </c>
      <c r="E4" t="s">
        <v>98</v>
      </c>
      <c r="F4" t="s">
        <v>101</v>
      </c>
      <c r="G4" t="s">
        <v>56</v>
      </c>
      <c r="H4" t="s">
        <v>36</v>
      </c>
      <c r="I4" t="s">
        <v>94</v>
      </c>
    </row>
    <row r="5" spans="1:9" x14ac:dyDescent="0.25">
      <c r="A5">
        <v>4</v>
      </c>
      <c r="B5" t="s">
        <v>102</v>
      </c>
      <c r="C5" t="s">
        <v>103</v>
      </c>
      <c r="D5" t="s">
        <v>60</v>
      </c>
      <c r="E5" t="s">
        <v>104</v>
      </c>
      <c r="F5" t="s">
        <v>105</v>
      </c>
      <c r="G5" t="s">
        <v>59</v>
      </c>
      <c r="H5" t="s">
        <v>39</v>
      </c>
      <c r="I5" t="s">
        <v>106</v>
      </c>
    </row>
    <row r="6" spans="1:9" x14ac:dyDescent="0.25">
      <c r="A6">
        <v>5</v>
      </c>
      <c r="B6" t="s">
        <v>107</v>
      </c>
      <c r="C6" t="s">
        <v>103</v>
      </c>
      <c r="D6" t="s">
        <v>60</v>
      </c>
      <c r="E6" t="s">
        <v>104</v>
      </c>
      <c r="F6" t="s">
        <v>108</v>
      </c>
      <c r="G6" t="s">
        <v>59</v>
      </c>
      <c r="H6" t="s">
        <v>39</v>
      </c>
      <c r="I6" t="s">
        <v>109</v>
      </c>
    </row>
    <row r="7" spans="1:9" x14ac:dyDescent="0.25">
      <c r="A7">
        <v>6</v>
      </c>
      <c r="B7" t="s">
        <v>110</v>
      </c>
      <c r="C7" t="s">
        <v>111</v>
      </c>
      <c r="D7" t="s">
        <v>112</v>
      </c>
      <c r="E7" t="s">
        <v>113</v>
      </c>
      <c r="F7" t="s">
        <v>114</v>
      </c>
      <c r="G7" t="s">
        <v>62</v>
      </c>
      <c r="H7" t="s">
        <v>42</v>
      </c>
      <c r="I7" t="s">
        <v>115</v>
      </c>
    </row>
    <row r="8" spans="1:9" x14ac:dyDescent="0.25">
      <c r="A8">
        <v>7</v>
      </c>
      <c r="B8" t="s">
        <v>116</v>
      </c>
      <c r="C8" t="s">
        <v>117</v>
      </c>
      <c r="D8" t="s">
        <v>118</v>
      </c>
      <c r="E8" t="s">
        <v>119</v>
      </c>
      <c r="F8" t="s">
        <v>120</v>
      </c>
      <c r="G8" t="s">
        <v>62</v>
      </c>
      <c r="H8" t="s">
        <v>42</v>
      </c>
      <c r="I8" t="s">
        <v>121</v>
      </c>
    </row>
    <row r="9" spans="1:9" x14ac:dyDescent="0.25">
      <c r="A9">
        <v>8</v>
      </c>
      <c r="B9" t="s">
        <v>122</v>
      </c>
      <c r="C9" t="s">
        <v>117</v>
      </c>
      <c r="D9" t="s">
        <v>118</v>
      </c>
      <c r="E9" t="s">
        <v>123</v>
      </c>
      <c r="F9" t="s">
        <v>124</v>
      </c>
      <c r="G9" t="s">
        <v>62</v>
      </c>
      <c r="H9" t="s">
        <v>42</v>
      </c>
      <c r="I9" t="s">
        <v>125</v>
      </c>
    </row>
    <row r="10" spans="1:9" x14ac:dyDescent="0.25">
      <c r="A10">
        <v>9</v>
      </c>
      <c r="B10" t="s">
        <v>126</v>
      </c>
      <c r="C10" t="s">
        <v>127</v>
      </c>
      <c r="D10" t="s">
        <v>128</v>
      </c>
      <c r="E10" t="s">
        <v>129</v>
      </c>
      <c r="F10" t="s">
        <v>130</v>
      </c>
      <c r="G10" t="s">
        <v>65</v>
      </c>
      <c r="H10" t="s">
        <v>42</v>
      </c>
      <c r="I10" t="s">
        <v>115</v>
      </c>
    </row>
    <row r="11" spans="1:9" x14ac:dyDescent="0.25">
      <c r="A11">
        <v>10</v>
      </c>
      <c r="B11" t="s">
        <v>131</v>
      </c>
      <c r="C11" t="s">
        <v>127</v>
      </c>
      <c r="D11" t="s">
        <v>128</v>
      </c>
      <c r="E11" t="s">
        <v>129</v>
      </c>
      <c r="F11" t="s">
        <v>132</v>
      </c>
      <c r="G11" t="s">
        <v>65</v>
      </c>
      <c r="H11" t="s">
        <v>42</v>
      </c>
      <c r="I11" t="s">
        <v>133</v>
      </c>
    </row>
    <row r="12" spans="1:9" x14ac:dyDescent="0.25">
      <c r="A12">
        <v>11</v>
      </c>
      <c r="B12" t="s">
        <v>134</v>
      </c>
      <c r="C12" t="s">
        <v>135</v>
      </c>
      <c r="D12" t="s">
        <v>136</v>
      </c>
      <c r="E12" t="s">
        <v>137</v>
      </c>
      <c r="F12" t="s">
        <v>138</v>
      </c>
      <c r="G12" t="s">
        <v>65</v>
      </c>
      <c r="H12" t="s">
        <v>42</v>
      </c>
      <c r="I12" t="s">
        <v>139</v>
      </c>
    </row>
    <row r="13" spans="1:9" x14ac:dyDescent="0.25">
      <c r="A13">
        <v>12</v>
      </c>
      <c r="B13" t="s">
        <v>140</v>
      </c>
      <c r="C13" t="s">
        <v>141</v>
      </c>
      <c r="D13" t="s">
        <v>142</v>
      </c>
      <c r="E13" t="s">
        <v>143</v>
      </c>
      <c r="F13" t="s">
        <v>144</v>
      </c>
      <c r="G13" t="s">
        <v>65</v>
      </c>
      <c r="H13" t="s">
        <v>42</v>
      </c>
      <c r="I13" t="s">
        <v>139</v>
      </c>
    </row>
    <row r="14" spans="1:9" x14ac:dyDescent="0.25">
      <c r="A14">
        <v>13</v>
      </c>
      <c r="B14" t="s">
        <v>145</v>
      </c>
      <c r="C14" t="s">
        <v>146</v>
      </c>
      <c r="D14" t="s">
        <v>147</v>
      </c>
      <c r="E14" t="s">
        <v>148</v>
      </c>
      <c r="F14" t="s">
        <v>149</v>
      </c>
      <c r="G14" t="s">
        <v>65</v>
      </c>
      <c r="H14" t="s">
        <v>42</v>
      </c>
      <c r="I14" t="s">
        <v>150</v>
      </c>
    </row>
    <row r="15" spans="1:9" x14ac:dyDescent="0.25">
      <c r="A15">
        <v>14</v>
      </c>
      <c r="B15" t="s">
        <v>151</v>
      </c>
      <c r="C15" t="s">
        <v>146</v>
      </c>
      <c r="D15" t="s">
        <v>147</v>
      </c>
      <c r="E15" t="s">
        <v>148</v>
      </c>
      <c r="F15" t="s">
        <v>152</v>
      </c>
      <c r="G15" t="s">
        <v>65</v>
      </c>
      <c r="H15" t="s">
        <v>42</v>
      </c>
      <c r="I15" t="s">
        <v>153</v>
      </c>
    </row>
    <row r="16" spans="1:9" x14ac:dyDescent="0.25">
      <c r="A16">
        <v>15</v>
      </c>
      <c r="B16" t="s">
        <v>154</v>
      </c>
      <c r="C16" t="s">
        <v>155</v>
      </c>
      <c r="D16" t="s">
        <v>156</v>
      </c>
      <c r="E16" t="s">
        <v>148</v>
      </c>
      <c r="F16" t="s">
        <v>157</v>
      </c>
      <c r="G16" t="s">
        <v>65</v>
      </c>
      <c r="H16" t="s">
        <v>42</v>
      </c>
      <c r="I16" t="s">
        <v>94</v>
      </c>
    </row>
    <row r="17" spans="1:9" x14ac:dyDescent="0.25">
      <c r="A17">
        <v>16</v>
      </c>
      <c r="B17" t="s">
        <v>158</v>
      </c>
      <c r="C17" t="s">
        <v>159</v>
      </c>
      <c r="D17" t="s">
        <v>156</v>
      </c>
      <c r="E17" t="s">
        <v>148</v>
      </c>
      <c r="F17" t="s">
        <v>160</v>
      </c>
      <c r="G17" t="s">
        <v>65</v>
      </c>
      <c r="H17" t="s">
        <v>42</v>
      </c>
      <c r="I17" t="s">
        <v>161</v>
      </c>
    </row>
    <row r="18" spans="1:9" x14ac:dyDescent="0.25">
      <c r="A18">
        <v>17</v>
      </c>
      <c r="B18" t="s">
        <v>162</v>
      </c>
      <c r="C18" t="s">
        <v>163</v>
      </c>
      <c r="D18" t="s">
        <v>164</v>
      </c>
      <c r="E18" t="s">
        <v>165</v>
      </c>
      <c r="F18" t="s">
        <v>166</v>
      </c>
      <c r="G18" t="s">
        <v>68</v>
      </c>
      <c r="H18" t="s">
        <v>45</v>
      </c>
      <c r="I18" t="s">
        <v>167</v>
      </c>
    </row>
    <row r="19" spans="1:9" x14ac:dyDescent="0.25">
      <c r="A19">
        <v>18</v>
      </c>
      <c r="B19" t="s">
        <v>168</v>
      </c>
      <c r="C19" t="s">
        <v>71</v>
      </c>
      <c r="D19" t="s">
        <v>72</v>
      </c>
      <c r="E19" t="s">
        <v>165</v>
      </c>
      <c r="F19" t="s">
        <v>169</v>
      </c>
      <c r="G19" t="s">
        <v>71</v>
      </c>
      <c r="H19" t="s">
        <v>48</v>
      </c>
      <c r="I19" t="s">
        <v>170</v>
      </c>
    </row>
    <row r="20" spans="1:9" x14ac:dyDescent="0.25">
      <c r="A20">
        <v>19</v>
      </c>
      <c r="B20" t="s">
        <v>171</v>
      </c>
      <c r="C20" t="s">
        <v>71</v>
      </c>
      <c r="D20" t="s">
        <v>72</v>
      </c>
      <c r="E20" t="s">
        <v>172</v>
      </c>
      <c r="F20" t="s">
        <v>173</v>
      </c>
      <c r="G20" t="s">
        <v>71</v>
      </c>
      <c r="H20" t="s">
        <v>48</v>
      </c>
      <c r="I20" t="s">
        <v>174</v>
      </c>
    </row>
    <row r="21" spans="1:9" x14ac:dyDescent="0.25">
      <c r="A21">
        <v>20</v>
      </c>
      <c r="B21" t="s">
        <v>175</v>
      </c>
      <c r="C21" t="s">
        <v>71</v>
      </c>
      <c r="D21" t="s">
        <v>72</v>
      </c>
      <c r="E21" t="s">
        <v>165</v>
      </c>
      <c r="F21" t="s">
        <v>176</v>
      </c>
      <c r="G21" t="s">
        <v>71</v>
      </c>
      <c r="H21" t="s">
        <v>48</v>
      </c>
      <c r="I21" t="s">
        <v>177</v>
      </c>
    </row>
    <row r="22" spans="1:9" x14ac:dyDescent="0.25">
      <c r="A22">
        <v>21</v>
      </c>
      <c r="B22" t="s">
        <v>178</v>
      </c>
      <c r="C22" t="s">
        <v>71</v>
      </c>
      <c r="D22" t="s">
        <v>72</v>
      </c>
      <c r="E22" t="s">
        <v>165</v>
      </c>
      <c r="F22" t="s">
        <v>179</v>
      </c>
      <c r="G22" t="s">
        <v>71</v>
      </c>
      <c r="H22" t="s">
        <v>48</v>
      </c>
      <c r="I22" t="s">
        <v>94</v>
      </c>
    </row>
    <row r="23" spans="1:9" x14ac:dyDescent="0.25">
      <c r="A23">
        <v>22</v>
      </c>
      <c r="B23" t="s">
        <v>180</v>
      </c>
      <c r="C23" t="s">
        <v>71</v>
      </c>
      <c r="D23" t="s">
        <v>72</v>
      </c>
      <c r="E23" t="s">
        <v>181</v>
      </c>
      <c r="F23" t="s">
        <v>182</v>
      </c>
      <c r="G23" t="s">
        <v>71</v>
      </c>
      <c r="H23" t="s">
        <v>48</v>
      </c>
      <c r="I23" t="s">
        <v>183</v>
      </c>
    </row>
    <row r="24" spans="1:9" x14ac:dyDescent="0.25">
      <c r="A24">
        <v>23</v>
      </c>
      <c r="B24" t="s">
        <v>184</v>
      </c>
      <c r="C24" t="s">
        <v>71</v>
      </c>
      <c r="D24" t="s">
        <v>72</v>
      </c>
      <c r="E24" t="s">
        <v>185</v>
      </c>
      <c r="F24" t="s">
        <v>186</v>
      </c>
      <c r="G24" t="s">
        <v>71</v>
      </c>
      <c r="H24" t="s">
        <v>48</v>
      </c>
      <c r="I24" t="s">
        <v>187</v>
      </c>
    </row>
    <row r="25" spans="1:9" x14ac:dyDescent="0.25">
      <c r="A25">
        <v>24</v>
      </c>
      <c r="B25" t="s">
        <v>188</v>
      </c>
      <c r="C25" t="s">
        <v>71</v>
      </c>
      <c r="D25" t="s">
        <v>72</v>
      </c>
      <c r="E25" t="s">
        <v>189</v>
      </c>
      <c r="F25" t="s">
        <v>190</v>
      </c>
      <c r="G25" t="s">
        <v>71</v>
      </c>
      <c r="H25" t="s">
        <v>48</v>
      </c>
      <c r="I25" t="s">
        <v>191</v>
      </c>
    </row>
    <row r="26" spans="1:9" x14ac:dyDescent="0.25">
      <c r="A26">
        <v>25</v>
      </c>
      <c r="B26" t="s">
        <v>192</v>
      </c>
      <c r="C26" t="s">
        <v>71</v>
      </c>
      <c r="D26" t="s">
        <v>72</v>
      </c>
      <c r="E26" t="s">
        <v>193</v>
      </c>
      <c r="F26" t="s">
        <v>194</v>
      </c>
      <c r="G26" t="s">
        <v>71</v>
      </c>
      <c r="H26" t="s">
        <v>48</v>
      </c>
      <c r="I26" t="s">
        <v>195</v>
      </c>
    </row>
    <row r="27" spans="1:9" x14ac:dyDescent="0.25">
      <c r="A27">
        <v>26</v>
      </c>
      <c r="B27" t="s">
        <v>196</v>
      </c>
      <c r="C27" t="s">
        <v>71</v>
      </c>
      <c r="D27" t="s">
        <v>72</v>
      </c>
      <c r="E27" t="s">
        <v>197</v>
      </c>
      <c r="F27" t="s">
        <v>198</v>
      </c>
      <c r="G27" t="s">
        <v>71</v>
      </c>
      <c r="H27" t="s">
        <v>48</v>
      </c>
      <c r="I27" t="s">
        <v>199</v>
      </c>
    </row>
    <row r="28" spans="1:9" x14ac:dyDescent="0.25">
      <c r="A28">
        <v>27</v>
      </c>
      <c r="B28" t="s">
        <v>200</v>
      </c>
      <c r="C28" t="s">
        <v>71</v>
      </c>
      <c r="D28" t="s">
        <v>72</v>
      </c>
      <c r="E28" t="s">
        <v>201</v>
      </c>
      <c r="F28" t="s">
        <v>202</v>
      </c>
      <c r="G28" t="s">
        <v>71</v>
      </c>
      <c r="H28" t="s">
        <v>48</v>
      </c>
      <c r="I28" t="s">
        <v>133</v>
      </c>
    </row>
    <row r="29" spans="1:9" x14ac:dyDescent="0.25">
      <c r="A29">
        <v>28</v>
      </c>
      <c r="B29" t="s">
        <v>203</v>
      </c>
      <c r="C29" t="s">
        <v>71</v>
      </c>
      <c r="D29" t="s">
        <v>72</v>
      </c>
      <c r="E29" t="s">
        <v>204</v>
      </c>
      <c r="F29" t="s">
        <v>205</v>
      </c>
      <c r="G29" t="s">
        <v>71</v>
      </c>
      <c r="H29" t="s">
        <v>48</v>
      </c>
      <c r="I29" t="s">
        <v>121</v>
      </c>
    </row>
    <row r="30" spans="1:9" x14ac:dyDescent="0.25">
      <c r="A30">
        <v>29</v>
      </c>
      <c r="B30" t="s">
        <v>206</v>
      </c>
      <c r="C30" t="s">
        <v>71</v>
      </c>
      <c r="D30" t="s">
        <v>72</v>
      </c>
      <c r="E30" t="s">
        <v>207</v>
      </c>
      <c r="F30" t="s">
        <v>208</v>
      </c>
      <c r="G30" t="s">
        <v>71</v>
      </c>
      <c r="H30" t="s">
        <v>48</v>
      </c>
      <c r="I30" t="s">
        <v>191</v>
      </c>
    </row>
    <row r="31" spans="1:9" x14ac:dyDescent="0.25">
      <c r="A31">
        <v>30</v>
      </c>
      <c r="B31" t="s">
        <v>209</v>
      </c>
      <c r="C31" t="s">
        <v>71</v>
      </c>
      <c r="D31" t="s">
        <v>72</v>
      </c>
      <c r="E31" t="s">
        <v>209</v>
      </c>
      <c r="F31" t="s">
        <v>210</v>
      </c>
      <c r="G31" t="s">
        <v>71</v>
      </c>
      <c r="H31" t="s">
        <v>48</v>
      </c>
      <c r="I31" t="s">
        <v>211</v>
      </c>
    </row>
    <row r="32" spans="1:9" x14ac:dyDescent="0.25">
      <c r="A32">
        <v>31</v>
      </c>
      <c r="B32" t="s">
        <v>212</v>
      </c>
      <c r="C32" t="s">
        <v>71</v>
      </c>
      <c r="D32" t="s">
        <v>72</v>
      </c>
      <c r="E32" t="s">
        <v>213</v>
      </c>
      <c r="F32" t="s">
        <v>214</v>
      </c>
      <c r="G32" t="s">
        <v>71</v>
      </c>
      <c r="H32" t="s">
        <v>48</v>
      </c>
      <c r="I32" t="s">
        <v>106</v>
      </c>
    </row>
    <row r="33" spans="1:9" x14ac:dyDescent="0.25">
      <c r="A33">
        <v>32</v>
      </c>
      <c r="B33" t="s">
        <v>215</v>
      </c>
      <c r="C33" t="s">
        <v>74</v>
      </c>
      <c r="D33" t="s">
        <v>72</v>
      </c>
      <c r="E33" t="s">
        <v>216</v>
      </c>
      <c r="F33" t="s">
        <v>217</v>
      </c>
      <c r="G33" t="s">
        <v>74</v>
      </c>
      <c r="H33" t="s">
        <v>48</v>
      </c>
      <c r="I33" t="s">
        <v>218</v>
      </c>
    </row>
    <row r="34" spans="1:9" x14ac:dyDescent="0.25">
      <c r="A34">
        <v>33</v>
      </c>
      <c r="B34" t="s">
        <v>219</v>
      </c>
      <c r="C34" t="s">
        <v>220</v>
      </c>
      <c r="D34" t="s">
        <v>221</v>
      </c>
      <c r="E34" t="s">
        <v>222</v>
      </c>
      <c r="F34" t="s">
        <v>223</v>
      </c>
      <c r="G34" t="s">
        <v>76</v>
      </c>
      <c r="H34" t="s">
        <v>48</v>
      </c>
      <c r="I34" t="s">
        <v>224</v>
      </c>
    </row>
    <row r="35" spans="1:9" x14ac:dyDescent="0.25">
      <c r="A35">
        <v>34</v>
      </c>
      <c r="B35" t="s">
        <v>225</v>
      </c>
      <c r="C35" t="s">
        <v>226</v>
      </c>
      <c r="D35" t="s">
        <v>227</v>
      </c>
      <c r="E35" t="s">
        <v>228</v>
      </c>
      <c r="F35" t="s">
        <v>229</v>
      </c>
      <c r="G35" t="s">
        <v>79</v>
      </c>
      <c r="H35" t="s">
        <v>48</v>
      </c>
      <c r="I35" t="s">
        <v>230</v>
      </c>
    </row>
    <row r="36" spans="1:9" x14ac:dyDescent="0.25">
      <c r="A36">
        <v>35</v>
      </c>
      <c r="B36" t="s">
        <v>231</v>
      </c>
      <c r="C36" t="s">
        <v>232</v>
      </c>
      <c r="D36" t="s">
        <v>227</v>
      </c>
      <c r="E36" t="s">
        <v>233</v>
      </c>
      <c r="F36" t="s">
        <v>234</v>
      </c>
      <c r="G36" t="s">
        <v>79</v>
      </c>
      <c r="H36" t="s">
        <v>48</v>
      </c>
      <c r="I36" t="s">
        <v>235</v>
      </c>
    </row>
    <row r="37" spans="1:9" x14ac:dyDescent="0.25">
      <c r="A37">
        <v>36</v>
      </c>
      <c r="B37" t="s">
        <v>236</v>
      </c>
      <c r="C37" t="s">
        <v>237</v>
      </c>
      <c r="D37" t="s">
        <v>227</v>
      </c>
      <c r="E37" t="s">
        <v>238</v>
      </c>
      <c r="F37" t="s">
        <v>239</v>
      </c>
      <c r="G37" t="s">
        <v>79</v>
      </c>
      <c r="H37" t="s">
        <v>51</v>
      </c>
      <c r="I37" t="s">
        <v>240</v>
      </c>
    </row>
    <row r="38" spans="1:9" x14ac:dyDescent="0.25">
      <c r="A38">
        <v>37</v>
      </c>
      <c r="B38" t="s">
        <v>241</v>
      </c>
      <c r="C38" t="s">
        <v>242</v>
      </c>
      <c r="D38" t="s">
        <v>227</v>
      </c>
      <c r="E38" t="s">
        <v>243</v>
      </c>
      <c r="F38" t="s">
        <v>244</v>
      </c>
      <c r="G38" t="s">
        <v>79</v>
      </c>
      <c r="H38" t="s">
        <v>48</v>
      </c>
      <c r="I38" t="s">
        <v>230</v>
      </c>
    </row>
    <row r="39" spans="1:9" x14ac:dyDescent="0.25">
      <c r="A39">
        <v>38</v>
      </c>
      <c r="B39" t="s">
        <v>245</v>
      </c>
      <c r="C39" t="s">
        <v>246</v>
      </c>
      <c r="D39" t="s">
        <v>227</v>
      </c>
      <c r="E39" t="s">
        <v>247</v>
      </c>
      <c r="F39" t="s">
        <v>248</v>
      </c>
      <c r="G39" t="s">
        <v>79</v>
      </c>
      <c r="H39" t="s">
        <v>48</v>
      </c>
      <c r="I39" t="s">
        <v>249</v>
      </c>
    </row>
    <row r="40" spans="1:9" x14ac:dyDescent="0.25">
      <c r="A40">
        <v>39</v>
      </c>
      <c r="B40" t="s">
        <v>250</v>
      </c>
      <c r="C40" t="s">
        <v>251</v>
      </c>
      <c r="D40" t="s">
        <v>227</v>
      </c>
      <c r="E40" t="s">
        <v>252</v>
      </c>
      <c r="F40" t="s">
        <v>253</v>
      </c>
      <c r="G40" t="s">
        <v>79</v>
      </c>
      <c r="H40" t="s">
        <v>48</v>
      </c>
      <c r="I40" t="s">
        <v>254</v>
      </c>
    </row>
    <row r="41" spans="1:9" x14ac:dyDescent="0.25">
      <c r="A41">
        <v>40</v>
      </c>
      <c r="B41" t="s">
        <v>255</v>
      </c>
      <c r="C41" t="s">
        <v>256</v>
      </c>
      <c r="D41" t="s">
        <v>227</v>
      </c>
      <c r="E41" t="s">
        <v>257</v>
      </c>
      <c r="F41" t="s">
        <v>258</v>
      </c>
      <c r="G41" t="s">
        <v>79</v>
      </c>
      <c r="H41" t="s">
        <v>48</v>
      </c>
      <c r="I41" t="s">
        <v>259</v>
      </c>
    </row>
    <row r="42" spans="1:9" x14ac:dyDescent="0.25">
      <c r="A42">
        <v>41</v>
      </c>
      <c r="B42" t="s">
        <v>260</v>
      </c>
      <c r="C42" t="s">
        <v>261</v>
      </c>
      <c r="D42" t="s">
        <v>227</v>
      </c>
      <c r="E42" t="s">
        <v>262</v>
      </c>
      <c r="F42" t="s">
        <v>263</v>
      </c>
      <c r="G42" t="s">
        <v>79</v>
      </c>
      <c r="H42" t="s">
        <v>51</v>
      </c>
      <c r="I42" t="s">
        <v>264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D13" sqref="D13"/>
    </sheetView>
  </sheetViews>
  <sheetFormatPr defaultRowHeight="15" x14ac:dyDescent="0.25"/>
  <cols>
    <col min="2" max="2" width="32.5703125" customWidth="1"/>
  </cols>
  <sheetData>
    <row r="1" spans="1:3" x14ac:dyDescent="0.25">
      <c r="A1" t="s">
        <v>33</v>
      </c>
      <c r="B1" t="s">
        <v>34</v>
      </c>
      <c r="C1" t="s">
        <v>265</v>
      </c>
    </row>
    <row r="2" spans="1:3" x14ac:dyDescent="0.25">
      <c r="A2" t="s">
        <v>36</v>
      </c>
      <c r="B2" s="1" t="s">
        <v>37</v>
      </c>
      <c r="C2">
        <f>COUNTIF(Raw_Encounters!$H:$H,"S1")</f>
        <v>3</v>
      </c>
    </row>
    <row r="3" spans="1:3" x14ac:dyDescent="0.25">
      <c r="A3" t="s">
        <v>39</v>
      </c>
      <c r="B3" s="1" t="s">
        <v>40</v>
      </c>
      <c r="C3">
        <f>COUNTIF(Raw_Encounters!$H:$H,"S2")</f>
        <v>2</v>
      </c>
    </row>
    <row r="4" spans="1:3" x14ac:dyDescent="0.25">
      <c r="A4" t="s">
        <v>42</v>
      </c>
      <c r="B4" s="1" t="s">
        <v>43</v>
      </c>
      <c r="C4">
        <f>COUNTIF(Raw_Encounters!$H:$H,"S3")</f>
        <v>11</v>
      </c>
    </row>
    <row r="5" spans="1:3" x14ac:dyDescent="0.25">
      <c r="A5" t="s">
        <v>45</v>
      </c>
      <c r="B5" s="1" t="s">
        <v>46</v>
      </c>
      <c r="C5">
        <f>COUNTIF(Raw_Encounters!$H:$H,"S4")</f>
        <v>1</v>
      </c>
    </row>
    <row r="6" spans="1:3" x14ac:dyDescent="0.25">
      <c r="A6" t="s">
        <v>48</v>
      </c>
      <c r="B6" s="1" t="s">
        <v>49</v>
      </c>
      <c r="C6">
        <f>COUNTIF(Raw_Encounters!$H:$H,"S5")</f>
        <v>22</v>
      </c>
    </row>
    <row r="7" spans="1:3" x14ac:dyDescent="0.25">
      <c r="A7" t="s">
        <v>51</v>
      </c>
      <c r="B7" s="1" t="s">
        <v>52</v>
      </c>
      <c r="C7">
        <f>COUNTIF(Raw_Encounters!$H:$H,"S6")</f>
        <v>2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0"/>
  <sheetViews>
    <sheetView workbookViewId="0">
      <selection activeCell="J16" sqref="J16"/>
    </sheetView>
  </sheetViews>
  <sheetFormatPr defaultRowHeight="15" x14ac:dyDescent="0.25"/>
  <cols>
    <col min="1" max="1" width="13.7109375" customWidth="1"/>
    <col min="2" max="2" width="11.7109375" customWidth="1"/>
    <col min="3" max="3" width="13.7109375" customWidth="1"/>
    <col min="4" max="4" width="14.5703125" customWidth="1"/>
    <col min="5" max="5" width="13.7109375" customWidth="1"/>
    <col min="6" max="6" width="13" customWidth="1"/>
    <col min="7" max="7" width="13.28515625" customWidth="1"/>
    <col min="8" max="8" width="13.5703125" customWidth="1"/>
    <col min="9" max="9" width="14.140625" customWidth="1"/>
    <col min="10" max="10" width="14.42578125" customWidth="1"/>
    <col min="11" max="11" width="12.42578125" customWidth="1"/>
  </cols>
  <sheetData>
    <row r="1" spans="1:11" s="2" customFormat="1" ht="56.25" customHeight="1" x14ac:dyDescent="0.25">
      <c r="A1" s="3" t="s">
        <v>54</v>
      </c>
      <c r="B1" s="3" t="s">
        <v>4</v>
      </c>
      <c r="C1" s="3" t="s">
        <v>7</v>
      </c>
      <c r="D1" s="3" t="s">
        <v>10</v>
      </c>
      <c r="E1" s="3" t="s">
        <v>13</v>
      </c>
      <c r="F1" s="3" t="s">
        <v>16</v>
      </c>
      <c r="G1" s="3" t="s">
        <v>19</v>
      </c>
      <c r="H1" s="3" t="s">
        <v>22</v>
      </c>
      <c r="I1" s="3" t="s">
        <v>25</v>
      </c>
      <c r="J1" s="3" t="s">
        <v>28</v>
      </c>
      <c r="K1" s="3" t="s">
        <v>31</v>
      </c>
    </row>
    <row r="2" spans="1:11" x14ac:dyDescent="0.25">
      <c r="A2" s="4" t="s">
        <v>56</v>
      </c>
      <c r="B2" s="4">
        <f>COUNTIFS(Raw_Encounters!$G:$G,"Childhood",Raw_Encounters!$I:$I,"*ENT*")</f>
        <v>3</v>
      </c>
      <c r="C2" s="4">
        <f>COUNTIFS(Raw_Encounters!$G:$G,"Childhood",Raw_Encounters!$I:$I,"*CNS*")</f>
        <v>3</v>
      </c>
      <c r="D2" s="4">
        <f>COUNTIFS(Raw_Encounters!$G:$G,"Childhood",Raw_Encounters!$I:$I,"*DIS*")</f>
        <v>0</v>
      </c>
      <c r="E2" s="4">
        <f>COUNTIFS(Raw_Encounters!$G:$G,"Childhood",Raw_Encounters!$I:$I,"*GEO*")</f>
        <v>0</v>
      </c>
      <c r="F2" s="4">
        <f>COUNTIFS(Raw_Encounters!$G:$G,"Childhood",Raw_Encounters!$I:$I,"*STK*")</f>
        <v>0</v>
      </c>
      <c r="G2" s="4">
        <f>COUNTIFS(Raw_Encounters!$G:$G,"Childhood",Raw_Encounters!$I:$I,"*TMP*")</f>
        <v>0</v>
      </c>
      <c r="H2" s="4">
        <f>COUNTIFS(Raw_Encounters!$G:$G,"Childhood",Raw_Encounters!$I:$I,"*SOM*")</f>
        <v>0</v>
      </c>
      <c r="I2" s="4">
        <f>COUNTIFS(Raw_Encounters!$G:$G,"Childhood",Raw_Encounters!$I:$I,"*SYM*")</f>
        <v>0</v>
      </c>
      <c r="J2" s="4">
        <f>COUNTIFS(Raw_Encounters!$G:$G,"Childhood",Raw_Encounters!$I:$I,"*ENV*")</f>
        <v>0</v>
      </c>
      <c r="K2" s="4">
        <f>COUNTIFS(Raw_Encounters!$G:$G,"Childhood",Raw_Encounters!$I:$I,"*ORI*")</f>
        <v>0</v>
      </c>
    </row>
    <row r="3" spans="1:11" x14ac:dyDescent="0.25">
      <c r="A3" s="4" t="s">
        <v>59</v>
      </c>
      <c r="B3" s="4">
        <f>COUNTIFS(Raw_Encounters!$G:$G,"Teens",Raw_Encounters!$I:$I,"*ENT*")</f>
        <v>1</v>
      </c>
      <c r="C3" s="4">
        <f>COUNTIFS(Raw_Encounters!$G:$G,"Teens",Raw_Encounters!$I:$I,"*CNS*")</f>
        <v>1</v>
      </c>
      <c r="D3" s="4">
        <f>COUNTIFS(Raw_Encounters!$G:$G,"Teens",Raw_Encounters!$I:$I,"*DIS*")</f>
        <v>1</v>
      </c>
      <c r="E3" s="4">
        <f>COUNTIFS(Raw_Encounters!$G:$G,"Teens",Raw_Encounters!$I:$I,"*GEO*")</f>
        <v>0</v>
      </c>
      <c r="F3" s="4">
        <f>COUNTIFS(Raw_Encounters!$G:$G,"Teens",Raw_Encounters!$I:$I,"*STK*")</f>
        <v>0</v>
      </c>
      <c r="G3" s="4">
        <f>COUNTIFS(Raw_Encounters!$G:$G,"Teens",Raw_Encounters!$I:$I,"*TMP*")</f>
        <v>0</v>
      </c>
      <c r="H3" s="4">
        <f>COUNTIFS(Raw_Encounters!$G:$G,"Teens",Raw_Encounters!$I:$I,"*SOM*")</f>
        <v>0</v>
      </c>
      <c r="I3" s="4">
        <f>COUNTIFS(Raw_Encounters!$G:$G,"Teens",Raw_Encounters!$I:$I,"*SYM*")</f>
        <v>0</v>
      </c>
      <c r="J3" s="4">
        <f>COUNTIFS(Raw_Encounters!$G:$G,"Teens",Raw_Encounters!$I:$I,"*ENV*")</f>
        <v>2</v>
      </c>
      <c r="K3" s="4">
        <f>COUNTIFS(Raw_Encounters!$G:$G,"Teens",Raw_Encounters!$I:$I,"*ORI*")</f>
        <v>0</v>
      </c>
    </row>
    <row r="4" spans="1:11" x14ac:dyDescent="0.25">
      <c r="A4" s="4" t="s">
        <v>62</v>
      </c>
      <c r="B4" s="4">
        <f>COUNTIFS(Raw_Encounters!$G:$G,"20s",Raw_Encounters!$I:$I,"*ENT*")</f>
        <v>0</v>
      </c>
      <c r="C4" s="4">
        <f>COUNTIFS(Raw_Encounters!$G:$G,"20s",Raw_Encounters!$I:$I,"*CNS*")</f>
        <v>3</v>
      </c>
      <c r="D4" s="4">
        <f>COUNTIFS(Raw_Encounters!$G:$G,"20s",Raw_Encounters!$I:$I,"*DIS*")</f>
        <v>3</v>
      </c>
      <c r="E4" s="4">
        <f>COUNTIFS(Raw_Encounters!$G:$G,"20s",Raw_Encounters!$I:$I,"*GEO*")</f>
        <v>0</v>
      </c>
      <c r="F4" s="4">
        <f>COUNTIFS(Raw_Encounters!$G:$G,"20s",Raw_Encounters!$I:$I,"*STK*")</f>
        <v>0</v>
      </c>
      <c r="G4" s="4">
        <f>COUNTIFS(Raw_Encounters!$G:$G,"20s",Raw_Encounters!$I:$I,"*TMP*")</f>
        <v>1</v>
      </c>
      <c r="H4" s="4">
        <f>COUNTIFS(Raw_Encounters!$G:$G,"20s",Raw_Encounters!$I:$I,"*SOM*")</f>
        <v>0</v>
      </c>
      <c r="I4" s="4">
        <f>COUNTIFS(Raw_Encounters!$G:$G,"20s",Raw_Encounters!$I:$I,"*SYM*")</f>
        <v>0</v>
      </c>
      <c r="J4" s="4">
        <f>COUNTIFS(Raw_Encounters!$G:$G,"20s",Raw_Encounters!$I:$I,"*ENV*")</f>
        <v>1</v>
      </c>
      <c r="K4" s="4">
        <f>COUNTIFS(Raw_Encounters!$G:$G,"20s",Raw_Encounters!$I:$I,"*ORI*")</f>
        <v>0</v>
      </c>
    </row>
    <row r="5" spans="1:11" x14ac:dyDescent="0.25">
      <c r="A5" s="4" t="s">
        <v>65</v>
      </c>
      <c r="B5" s="4">
        <f>COUNTIFS(Raw_Encounters!$G:$G,"30s",Raw_Encounters!$I:$I,"*ENT*")</f>
        <v>6</v>
      </c>
      <c r="C5" s="4">
        <f>COUNTIFS(Raw_Encounters!$G:$G,"30s",Raw_Encounters!$I:$I,"*CNS*")</f>
        <v>6</v>
      </c>
      <c r="D5" s="4">
        <f>COUNTIFS(Raw_Encounters!$G:$G,"30s",Raw_Encounters!$I:$I,"*DIS*")</f>
        <v>1</v>
      </c>
      <c r="E5" s="4">
        <f>COUNTIFS(Raw_Encounters!$G:$G,"30s",Raw_Encounters!$I:$I,"*GEO*")</f>
        <v>0</v>
      </c>
      <c r="F5" s="4">
        <f>COUNTIFS(Raw_Encounters!$G:$G,"30s",Raw_Encounters!$I:$I,"*STK*")</f>
        <v>0</v>
      </c>
      <c r="G5" s="4">
        <f>COUNTIFS(Raw_Encounters!$G:$G,"30s",Raw_Encounters!$I:$I,"*TMP*")</f>
        <v>0</v>
      </c>
      <c r="H5" s="4">
        <f>COUNTIFS(Raw_Encounters!$G:$G,"30s",Raw_Encounters!$I:$I,"*SOM*")</f>
        <v>1</v>
      </c>
      <c r="I5" s="4">
        <f>COUNTIFS(Raw_Encounters!$G:$G,"30s",Raw_Encounters!$I:$I,"*SYM*")</f>
        <v>3</v>
      </c>
      <c r="J5" s="4">
        <f>COUNTIFS(Raw_Encounters!$G:$G,"30s",Raw_Encounters!$I:$I,"*ENV*")</f>
        <v>2</v>
      </c>
      <c r="K5" s="4">
        <f>COUNTIFS(Raw_Encounters!$G:$G,"30s",Raw_Encounters!$I:$I,"*ORI*")</f>
        <v>0</v>
      </c>
    </row>
    <row r="6" spans="1:11" x14ac:dyDescent="0.25">
      <c r="A6" s="4" t="s">
        <v>68</v>
      </c>
      <c r="B6" s="4">
        <f>COUNTIFS(Raw_Encounters!$G:$G,"40s",Raw_Encounters!$I:$I,"*ENT*")</f>
        <v>1</v>
      </c>
      <c r="C6" s="4">
        <f>COUNTIFS(Raw_Encounters!$G:$G,"40s",Raw_Encounters!$I:$I,"*CNS*")</f>
        <v>1</v>
      </c>
      <c r="D6" s="4">
        <f>COUNTIFS(Raw_Encounters!$G:$G,"40s",Raw_Encounters!$I:$I,"*DIS*")</f>
        <v>0</v>
      </c>
      <c r="E6" s="4">
        <f>COUNTIFS(Raw_Encounters!$G:$G,"40s",Raw_Encounters!$I:$I,"*GEO*")</f>
        <v>0</v>
      </c>
      <c r="F6" s="4">
        <f>COUNTIFS(Raw_Encounters!$G:$G,"40s",Raw_Encounters!$I:$I,"*STK*")</f>
        <v>0</v>
      </c>
      <c r="G6" s="4">
        <f>COUNTIFS(Raw_Encounters!$G:$G,"40s",Raw_Encounters!$I:$I,"*TMP*")</f>
        <v>0</v>
      </c>
      <c r="H6" s="4">
        <f>COUNTIFS(Raw_Encounters!$G:$G,"40s",Raw_Encounters!$I:$I,"*SOM*")</f>
        <v>0</v>
      </c>
      <c r="I6" s="4">
        <f>COUNTIFS(Raw_Encounters!$G:$G,"40s",Raw_Encounters!$I:$I,"*SYM*")</f>
        <v>1</v>
      </c>
      <c r="J6" s="4">
        <f>COUNTIFS(Raw_Encounters!$G:$G,"40s",Raw_Encounters!$I:$I,"*ENV*")</f>
        <v>0</v>
      </c>
      <c r="K6" s="4">
        <f>COUNTIFS(Raw_Encounters!$G:$G,"40s",Raw_Encounters!$I:$I,"*ORI*")</f>
        <v>0</v>
      </c>
    </row>
    <row r="7" spans="1:11" x14ac:dyDescent="0.25">
      <c r="A7" s="4" t="s">
        <v>71</v>
      </c>
      <c r="B7" s="4">
        <f>COUNTIFS(Raw_Encounters!$G:$G,"2019–2022",Raw_Encounters!$I:$I,"*ENT*")</f>
        <v>7</v>
      </c>
      <c r="C7" s="4">
        <f>COUNTIFS(Raw_Encounters!$G:$G,"2019–2022",Raw_Encounters!$I:$I,"*CNS*")</f>
        <v>8</v>
      </c>
      <c r="D7" s="4">
        <f>COUNTIFS(Raw_Encounters!$G:$G,"2019–2022",Raw_Encounters!$I:$I,"*DIS*")</f>
        <v>3</v>
      </c>
      <c r="E7" s="4">
        <f>COUNTIFS(Raw_Encounters!$G:$G,"2019–2022",Raw_Encounters!$I:$I,"*GEO*")</f>
        <v>3</v>
      </c>
      <c r="F7" s="4">
        <f>COUNTIFS(Raw_Encounters!$G:$G,"2019–2022",Raw_Encounters!$I:$I,"*STK*")</f>
        <v>0</v>
      </c>
      <c r="G7" s="4">
        <f>COUNTIFS(Raw_Encounters!$G:$G,"2019–2022",Raw_Encounters!$I:$I,"*TMP*")</f>
        <v>2</v>
      </c>
      <c r="H7" s="4">
        <f>COUNTIFS(Raw_Encounters!$G:$G,"2019–2022",Raw_Encounters!$I:$I,"*SOM*")</f>
        <v>2</v>
      </c>
      <c r="I7" s="4">
        <f>COUNTIFS(Raw_Encounters!$G:$G,"2019–2022",Raw_Encounters!$I:$I,"*SYM*")</f>
        <v>0</v>
      </c>
      <c r="J7" s="4">
        <f>COUNTIFS(Raw_Encounters!$G:$G,"2019–2022",Raw_Encounters!$I:$I,"*ENV*")</f>
        <v>10</v>
      </c>
      <c r="K7" s="4">
        <f>COUNTIFS(Raw_Encounters!$G:$G,"2019–2022",Raw_Encounters!$I:$I,"*ORI*")</f>
        <v>0</v>
      </c>
    </row>
    <row r="8" spans="1:11" x14ac:dyDescent="0.25">
      <c r="A8" s="4" t="s">
        <v>74</v>
      </c>
      <c r="B8" s="4">
        <f>COUNTIFS(Raw_Encounters!$G:$G,"2023",Raw_Encounters!$I:$I,"*ENT*")</f>
        <v>1</v>
      </c>
      <c r="C8" s="4">
        <f>COUNTIFS(Raw_Encounters!$G:$G,"2023",Raw_Encounters!$I:$I,"*CNS*")</f>
        <v>1</v>
      </c>
      <c r="D8" s="4">
        <f>COUNTIFS(Raw_Encounters!$G:$G,"2023",Raw_Encounters!$I:$I,"*DIS*")</f>
        <v>0</v>
      </c>
      <c r="E8" s="4">
        <f>COUNTIFS(Raw_Encounters!$G:$G,"2023",Raw_Encounters!$I:$I,"*GEO*")</f>
        <v>0</v>
      </c>
      <c r="F8" s="4">
        <f>COUNTIFS(Raw_Encounters!$G:$G,"2023",Raw_Encounters!$I:$I,"*STK*")</f>
        <v>0</v>
      </c>
      <c r="G8" s="4">
        <f>COUNTIFS(Raw_Encounters!$G:$G,"2023",Raw_Encounters!$I:$I,"*TMP*")</f>
        <v>0</v>
      </c>
      <c r="H8" s="4">
        <f>COUNTIFS(Raw_Encounters!$G:$G,"2023",Raw_Encounters!$I:$I,"*SOM*")</f>
        <v>0</v>
      </c>
      <c r="I8" s="4">
        <f>COUNTIFS(Raw_Encounters!$G:$G,"2023",Raw_Encounters!$I:$I,"*SYM*")</f>
        <v>0</v>
      </c>
      <c r="J8" s="4">
        <f>COUNTIFS(Raw_Encounters!$G:$G,"2023",Raw_Encounters!$I:$I,"*ENV*")</f>
        <v>1</v>
      </c>
      <c r="K8" s="4">
        <f>COUNTIFS(Raw_Encounters!$G:$G,"2023",Raw_Encounters!$I:$I,"*ORI*")</f>
        <v>0</v>
      </c>
    </row>
    <row r="9" spans="1:11" x14ac:dyDescent="0.25">
      <c r="A9" s="4" t="s">
        <v>76</v>
      </c>
      <c r="B9" s="4">
        <f>COUNTIFS(Raw_Encounters!$G:$G,"2024",Raw_Encounters!$I:$I,"*ENT*")</f>
        <v>1</v>
      </c>
      <c r="C9" s="4">
        <f>COUNTIFS(Raw_Encounters!$G:$G,"2024",Raw_Encounters!$I:$I,"*CNS*")</f>
        <v>1</v>
      </c>
      <c r="D9" s="4">
        <f>COUNTIFS(Raw_Encounters!$G:$G,"2024",Raw_Encounters!$I:$I,"*DIS*")</f>
        <v>1</v>
      </c>
      <c r="E9" s="4">
        <f>COUNTIFS(Raw_Encounters!$G:$G,"2024",Raw_Encounters!$I:$I,"*GEO*")</f>
        <v>0</v>
      </c>
      <c r="F9" s="4">
        <f>COUNTIFS(Raw_Encounters!$G:$G,"2024",Raw_Encounters!$I:$I,"*STK*")</f>
        <v>0</v>
      </c>
      <c r="G9" s="4">
        <f>COUNTIFS(Raw_Encounters!$G:$G,"2024",Raw_Encounters!$I:$I,"*TMP*")</f>
        <v>1</v>
      </c>
      <c r="H9" s="4">
        <f>COUNTIFS(Raw_Encounters!$G:$G,"2024",Raw_Encounters!$I:$I,"*SOM*")</f>
        <v>0</v>
      </c>
      <c r="I9" s="4">
        <f>COUNTIFS(Raw_Encounters!$G:$G,"2024",Raw_Encounters!$I:$I,"*SYM*")</f>
        <v>1</v>
      </c>
      <c r="J9" s="4">
        <f>COUNTIFS(Raw_Encounters!$G:$G,"2024",Raw_Encounters!$I:$I,"*ENV*")</f>
        <v>1</v>
      </c>
      <c r="K9" s="4">
        <f>COUNTIFS(Raw_Encounters!$G:$G,"2024",Raw_Encounters!$I:$I,"*ORI*")</f>
        <v>0</v>
      </c>
    </row>
    <row r="10" spans="1:11" x14ac:dyDescent="0.25">
      <c r="A10" s="4" t="s">
        <v>79</v>
      </c>
      <c r="B10" s="4">
        <f>COUNTIFS(Raw_Encounters!$G:$G,"2025",Raw_Encounters!$I:$I,"*ENT*")</f>
        <v>4</v>
      </c>
      <c r="C10" s="4">
        <f>COUNTIFS(Raw_Encounters!$G:$G,"2025",Raw_Encounters!$I:$I,"*CNS*")</f>
        <v>5</v>
      </c>
      <c r="D10" s="4">
        <f>COUNTIFS(Raw_Encounters!$G:$G,"2025",Raw_Encounters!$I:$I,"*DIS*")</f>
        <v>4</v>
      </c>
      <c r="E10" s="4">
        <f>COUNTIFS(Raw_Encounters!$G:$G,"2025",Raw_Encounters!$I:$I,"*GEO*")</f>
        <v>4</v>
      </c>
      <c r="F10" s="4">
        <f>COUNTIFS(Raw_Encounters!$G:$G,"2025",Raw_Encounters!$I:$I,"*STK*")</f>
        <v>2</v>
      </c>
      <c r="G10" s="4">
        <f>COUNTIFS(Raw_Encounters!$G:$G,"2025",Raw_Encounters!$I:$I,"*TMP*")</f>
        <v>6</v>
      </c>
      <c r="H10" s="4">
        <f>COUNTIFS(Raw_Encounters!$G:$G,"2025",Raw_Encounters!$I:$I,"*SOM*")</f>
        <v>0</v>
      </c>
      <c r="I10" s="4">
        <f>COUNTIFS(Raw_Encounters!$G:$G,"2025",Raw_Encounters!$I:$I,"*SYM*")</f>
        <v>3</v>
      </c>
      <c r="J10" s="4">
        <f>COUNTIFS(Raw_Encounters!$G:$G,"2025",Raw_Encounters!$I:$I,"*ENV*")</f>
        <v>8</v>
      </c>
      <c r="K10" s="4">
        <f>COUNTIFS(Raw_Encounters!$G:$G,"2025",Raw_Encounters!$I:$I,"*ORI*")</f>
        <v>0</v>
      </c>
    </row>
  </sheetData>
  <conditionalFormatting sqref="B2:K10">
    <cfRule type="colorScale" priority="1">
      <colorScale>
        <cfvo type="min"/>
        <cfvo type="percentile" val="50"/>
        <cfvo type="max"/>
        <color rgb="FFFFFFFF"/>
        <color rgb="FFFFCC99"/>
        <color rgb="FFFF0000"/>
      </colorScale>
    </cfRule>
  </conditionalFormatting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"/>
  <sheetViews>
    <sheetView zoomScale="80" zoomScaleNormal="80" workbookViewId="0">
      <selection activeCell="B22" sqref="B22"/>
    </sheetView>
  </sheetViews>
  <sheetFormatPr defaultRowHeight="15" x14ac:dyDescent="0.25"/>
  <cols>
    <col min="2" max="2" width="35.7109375" bestFit="1" customWidth="1"/>
  </cols>
  <sheetData>
    <row r="1" spans="1:3" x14ac:dyDescent="0.25">
      <c r="A1" t="s">
        <v>0</v>
      </c>
      <c r="B1" t="s">
        <v>1</v>
      </c>
      <c r="C1" t="s">
        <v>266</v>
      </c>
    </row>
    <row r="2" spans="1:3" x14ac:dyDescent="0.25">
      <c r="A2" t="s">
        <v>3</v>
      </c>
      <c r="B2" t="s">
        <v>4</v>
      </c>
      <c r="C2">
        <f>COUNTIF(Raw_Encounters!$I:$I,"*ENT*")</f>
        <v>24</v>
      </c>
    </row>
    <row r="3" spans="1:3" x14ac:dyDescent="0.25">
      <c r="A3" t="s">
        <v>6</v>
      </c>
      <c r="B3" t="s">
        <v>7</v>
      </c>
      <c r="C3">
        <f>COUNTIF(Raw_Encounters!$I:$I,"*CNS*")</f>
        <v>29</v>
      </c>
    </row>
    <row r="4" spans="1:3" x14ac:dyDescent="0.25">
      <c r="A4" t="s">
        <v>9</v>
      </c>
      <c r="B4" t="s">
        <v>10</v>
      </c>
      <c r="C4">
        <f>COUNTIF(Raw_Encounters!$I:$I,"*DIS*")</f>
        <v>13</v>
      </c>
    </row>
    <row r="5" spans="1:3" x14ac:dyDescent="0.25">
      <c r="A5" t="s">
        <v>12</v>
      </c>
      <c r="B5" t="s">
        <v>13</v>
      </c>
      <c r="C5">
        <f>COUNTIF(Raw_Encounters!$I:$I,"*GEO*")</f>
        <v>7</v>
      </c>
    </row>
    <row r="6" spans="1:3" x14ac:dyDescent="0.25">
      <c r="A6" t="s">
        <v>15</v>
      </c>
      <c r="B6" t="s">
        <v>16</v>
      </c>
      <c r="C6">
        <f>COUNTIF(Raw_Encounters!$I:$I,"*STK*")</f>
        <v>2</v>
      </c>
    </row>
    <row r="7" spans="1:3" x14ac:dyDescent="0.25">
      <c r="A7" t="s">
        <v>18</v>
      </c>
      <c r="B7" t="s">
        <v>19</v>
      </c>
      <c r="C7">
        <f>COUNTIF(Raw_Encounters!$I:$I,"*TMP*")</f>
        <v>10</v>
      </c>
    </row>
    <row r="8" spans="1:3" x14ac:dyDescent="0.25">
      <c r="A8" t="s">
        <v>21</v>
      </c>
      <c r="B8" t="s">
        <v>22</v>
      </c>
      <c r="C8">
        <f>COUNTIF(Raw_Encounters!$I:$I,"*SOM*")</f>
        <v>3</v>
      </c>
    </row>
    <row r="9" spans="1:3" x14ac:dyDescent="0.25">
      <c r="A9" t="s">
        <v>24</v>
      </c>
      <c r="B9" t="s">
        <v>25</v>
      </c>
      <c r="C9">
        <f>COUNTIF(Raw_Encounters!$I:$I,"*SYM*")</f>
        <v>8</v>
      </c>
    </row>
    <row r="10" spans="1:3" x14ac:dyDescent="0.25">
      <c r="A10" t="s">
        <v>27</v>
      </c>
      <c r="B10" t="s">
        <v>28</v>
      </c>
      <c r="C10">
        <f>COUNTIF(Raw_Encounters!$I:$I,"*ENV*")</f>
        <v>25</v>
      </c>
    </row>
    <row r="11" spans="1:3" x14ac:dyDescent="0.25">
      <c r="A11" t="s">
        <v>30</v>
      </c>
      <c r="B11" t="s">
        <v>31</v>
      </c>
      <c r="C11">
        <f>COUNTIF(Raw_Encounters!$I:$I,"*ORI*")</f>
        <v>0</v>
      </c>
    </row>
  </sheetData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7"/>
  <sheetViews>
    <sheetView workbookViewId="0"/>
  </sheetViews>
  <sheetFormatPr defaultRowHeight="15" x14ac:dyDescent="0.25"/>
  <cols>
    <col min="2" max="2" width="19.5703125" bestFit="1" customWidth="1"/>
  </cols>
  <sheetData>
    <row r="1" spans="1:3" x14ac:dyDescent="0.25">
      <c r="A1" t="s">
        <v>267</v>
      </c>
      <c r="B1" t="s">
        <v>268</v>
      </c>
      <c r="C1" t="s">
        <v>35</v>
      </c>
    </row>
    <row r="2" spans="1:3" x14ac:dyDescent="0.25">
      <c r="A2">
        <v>1</v>
      </c>
      <c r="B2" t="s">
        <v>269</v>
      </c>
      <c r="C2" t="s">
        <v>270</v>
      </c>
    </row>
    <row r="3" spans="1:3" x14ac:dyDescent="0.25">
      <c r="A3">
        <v>2</v>
      </c>
      <c r="B3" t="s">
        <v>271</v>
      </c>
      <c r="C3" t="s">
        <v>272</v>
      </c>
    </row>
    <row r="4" spans="1:3" x14ac:dyDescent="0.25">
      <c r="A4">
        <v>3</v>
      </c>
      <c r="B4" t="s">
        <v>273</v>
      </c>
      <c r="C4" t="s">
        <v>274</v>
      </c>
    </row>
    <row r="5" spans="1:3" x14ac:dyDescent="0.25">
      <c r="A5">
        <v>4</v>
      </c>
      <c r="B5" t="s">
        <v>275</v>
      </c>
      <c r="C5" t="s">
        <v>276</v>
      </c>
    </row>
    <row r="6" spans="1:3" x14ac:dyDescent="0.25">
      <c r="A6">
        <v>5</v>
      </c>
      <c r="B6" t="s">
        <v>277</v>
      </c>
      <c r="C6" t="s">
        <v>278</v>
      </c>
    </row>
    <row r="7" spans="1:3" x14ac:dyDescent="0.25">
      <c r="A7">
        <v>6</v>
      </c>
      <c r="B7" t="s">
        <v>279</v>
      </c>
      <c r="C7" t="s">
        <v>280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3"/>
  <sheetViews>
    <sheetView workbookViewId="0">
      <selection activeCell="C26" sqref="C26"/>
    </sheetView>
  </sheetViews>
  <sheetFormatPr defaultRowHeight="15" x14ac:dyDescent="0.25"/>
  <cols>
    <col min="1" max="1" width="12.85546875" bestFit="1" customWidth="1"/>
    <col min="2" max="2" width="20" bestFit="1" customWidth="1"/>
    <col min="3" max="3" width="35.42578125" bestFit="1" customWidth="1"/>
    <col min="4" max="4" width="12.85546875" bestFit="1" customWidth="1"/>
    <col min="5" max="5" width="13.85546875" bestFit="1" customWidth="1"/>
    <col min="6" max="6" width="35.7109375" bestFit="1" customWidth="1"/>
    <col min="7" max="7" width="35.42578125" bestFit="1" customWidth="1"/>
    <col min="8" max="8" width="11.140625" bestFit="1" customWidth="1"/>
    <col min="9" max="9" width="11.42578125" bestFit="1" customWidth="1"/>
    <col min="10" max="10" width="18.140625" bestFit="1" customWidth="1"/>
    <col min="11" max="11" width="11.28515625" bestFit="1" customWidth="1"/>
  </cols>
  <sheetData>
    <row r="1" spans="1:11" x14ac:dyDescent="0.25">
      <c r="A1" t="s">
        <v>82</v>
      </c>
      <c r="B1" t="s">
        <v>281</v>
      </c>
      <c r="C1" t="s">
        <v>83</v>
      </c>
      <c r="D1" t="s">
        <v>84</v>
      </c>
      <c r="E1" t="s">
        <v>85</v>
      </c>
      <c r="F1" t="s">
        <v>86</v>
      </c>
      <c r="G1" t="s">
        <v>87</v>
      </c>
      <c r="H1" t="s">
        <v>54</v>
      </c>
      <c r="I1" t="s">
        <v>33</v>
      </c>
      <c r="J1" t="s">
        <v>88</v>
      </c>
      <c r="K1" t="s">
        <v>282</v>
      </c>
    </row>
    <row r="2" spans="1:11" x14ac:dyDescent="0.25">
      <c r="A2">
        <v>42</v>
      </c>
      <c r="B2">
        <v>39</v>
      </c>
      <c r="C2" t="s">
        <v>283</v>
      </c>
      <c r="D2" t="s">
        <v>251</v>
      </c>
      <c r="E2" t="s">
        <v>227</v>
      </c>
      <c r="F2" t="s">
        <v>252</v>
      </c>
      <c r="G2" t="s">
        <v>283</v>
      </c>
      <c r="H2" t="s">
        <v>79</v>
      </c>
      <c r="I2" t="s">
        <v>48</v>
      </c>
      <c r="J2" t="s">
        <v>284</v>
      </c>
      <c r="K2" t="s">
        <v>285</v>
      </c>
    </row>
    <row r="3" spans="1:11" x14ac:dyDescent="0.25">
      <c r="A3">
        <v>43</v>
      </c>
      <c r="B3">
        <v>39</v>
      </c>
      <c r="C3" t="s">
        <v>286</v>
      </c>
      <c r="D3" t="s">
        <v>251</v>
      </c>
      <c r="E3" t="s">
        <v>227</v>
      </c>
      <c r="F3" t="s">
        <v>252</v>
      </c>
      <c r="G3" t="s">
        <v>286</v>
      </c>
      <c r="H3" t="s">
        <v>79</v>
      </c>
      <c r="I3" t="s">
        <v>48</v>
      </c>
      <c r="J3" t="s">
        <v>284</v>
      </c>
      <c r="K3" t="s">
        <v>285</v>
      </c>
    </row>
    <row r="4" spans="1:11" x14ac:dyDescent="0.25">
      <c r="A4">
        <v>44</v>
      </c>
      <c r="B4">
        <v>39</v>
      </c>
      <c r="C4" t="s">
        <v>287</v>
      </c>
      <c r="D4" t="s">
        <v>251</v>
      </c>
      <c r="E4" t="s">
        <v>227</v>
      </c>
      <c r="F4" t="s">
        <v>252</v>
      </c>
      <c r="G4" t="s">
        <v>287</v>
      </c>
      <c r="H4" t="s">
        <v>79</v>
      </c>
      <c r="I4" t="s">
        <v>48</v>
      </c>
      <c r="J4" t="s">
        <v>284</v>
      </c>
      <c r="K4" t="s">
        <v>285</v>
      </c>
    </row>
    <row r="5" spans="1:11" x14ac:dyDescent="0.25">
      <c r="A5">
        <v>45</v>
      </c>
      <c r="B5">
        <v>39</v>
      </c>
      <c r="C5" t="s">
        <v>288</v>
      </c>
      <c r="D5" t="s">
        <v>251</v>
      </c>
      <c r="E5" t="s">
        <v>227</v>
      </c>
      <c r="F5" t="s">
        <v>252</v>
      </c>
      <c r="G5" t="s">
        <v>288</v>
      </c>
      <c r="H5" t="s">
        <v>79</v>
      </c>
      <c r="I5" t="s">
        <v>48</v>
      </c>
      <c r="J5" t="s">
        <v>284</v>
      </c>
      <c r="K5" t="s">
        <v>285</v>
      </c>
    </row>
    <row r="6" spans="1:11" x14ac:dyDescent="0.25">
      <c r="A6">
        <v>46</v>
      </c>
      <c r="B6">
        <v>39</v>
      </c>
      <c r="C6" t="s">
        <v>289</v>
      </c>
      <c r="D6" t="s">
        <v>251</v>
      </c>
      <c r="E6" t="s">
        <v>227</v>
      </c>
      <c r="F6" t="s">
        <v>252</v>
      </c>
      <c r="G6" t="s">
        <v>289</v>
      </c>
      <c r="H6" t="s">
        <v>79</v>
      </c>
      <c r="I6" t="s">
        <v>48</v>
      </c>
      <c r="J6" t="s">
        <v>284</v>
      </c>
      <c r="K6" t="s">
        <v>285</v>
      </c>
    </row>
    <row r="7" spans="1:11" x14ac:dyDescent="0.25">
      <c r="A7">
        <v>47</v>
      </c>
      <c r="B7">
        <v>39</v>
      </c>
      <c r="C7" t="s">
        <v>290</v>
      </c>
      <c r="D7" t="s">
        <v>251</v>
      </c>
      <c r="E7" t="s">
        <v>227</v>
      </c>
      <c r="F7" t="s">
        <v>252</v>
      </c>
      <c r="G7" t="s">
        <v>290</v>
      </c>
      <c r="H7" t="s">
        <v>79</v>
      </c>
      <c r="I7" t="s">
        <v>48</v>
      </c>
      <c r="J7" t="s">
        <v>284</v>
      </c>
      <c r="K7" t="s">
        <v>285</v>
      </c>
    </row>
    <row r="8" spans="1:11" x14ac:dyDescent="0.25">
      <c r="A8">
        <v>48</v>
      </c>
      <c r="B8">
        <v>40</v>
      </c>
      <c r="C8" t="s">
        <v>291</v>
      </c>
      <c r="D8" t="s">
        <v>256</v>
      </c>
      <c r="E8" t="s">
        <v>227</v>
      </c>
      <c r="F8" t="s">
        <v>257</v>
      </c>
      <c r="G8" t="s">
        <v>291</v>
      </c>
      <c r="H8" t="s">
        <v>79</v>
      </c>
      <c r="I8" t="s">
        <v>48</v>
      </c>
      <c r="J8" t="s">
        <v>284</v>
      </c>
      <c r="K8" t="s">
        <v>285</v>
      </c>
    </row>
    <row r="9" spans="1:11" x14ac:dyDescent="0.25">
      <c r="A9">
        <v>49</v>
      </c>
      <c r="B9">
        <v>40</v>
      </c>
      <c r="C9" t="s">
        <v>292</v>
      </c>
      <c r="D9" t="s">
        <v>256</v>
      </c>
      <c r="E9" t="s">
        <v>227</v>
      </c>
      <c r="F9" t="s">
        <v>257</v>
      </c>
      <c r="G9" t="s">
        <v>292</v>
      </c>
      <c r="H9" t="s">
        <v>79</v>
      </c>
      <c r="I9" t="s">
        <v>48</v>
      </c>
      <c r="J9" t="s">
        <v>284</v>
      </c>
      <c r="K9" t="s">
        <v>285</v>
      </c>
    </row>
    <row r="10" spans="1:11" x14ac:dyDescent="0.25">
      <c r="A10">
        <v>50</v>
      </c>
      <c r="B10">
        <v>40</v>
      </c>
      <c r="C10" t="s">
        <v>293</v>
      </c>
      <c r="D10" t="s">
        <v>256</v>
      </c>
      <c r="E10" t="s">
        <v>227</v>
      </c>
      <c r="F10" t="s">
        <v>257</v>
      </c>
      <c r="G10" t="s">
        <v>293</v>
      </c>
      <c r="H10" t="s">
        <v>79</v>
      </c>
      <c r="I10" t="s">
        <v>48</v>
      </c>
      <c r="J10" t="s">
        <v>284</v>
      </c>
      <c r="K10" t="s">
        <v>285</v>
      </c>
    </row>
    <row r="11" spans="1:11" x14ac:dyDescent="0.25">
      <c r="A11">
        <v>51</v>
      </c>
      <c r="B11">
        <v>36</v>
      </c>
      <c r="C11" t="s">
        <v>294</v>
      </c>
      <c r="D11" t="s">
        <v>237</v>
      </c>
      <c r="E11" t="s">
        <v>227</v>
      </c>
      <c r="F11" t="s">
        <v>238</v>
      </c>
      <c r="G11" t="s">
        <v>294</v>
      </c>
      <c r="H11" t="s">
        <v>79</v>
      </c>
      <c r="I11" t="s">
        <v>51</v>
      </c>
      <c r="J11" t="s">
        <v>284</v>
      </c>
      <c r="K11" t="s">
        <v>285</v>
      </c>
    </row>
    <row r="12" spans="1:11" x14ac:dyDescent="0.25">
      <c r="A12">
        <v>52</v>
      </c>
      <c r="B12">
        <v>36</v>
      </c>
      <c r="C12" t="s">
        <v>295</v>
      </c>
      <c r="D12" t="s">
        <v>237</v>
      </c>
      <c r="E12" t="s">
        <v>227</v>
      </c>
      <c r="F12" t="s">
        <v>238</v>
      </c>
      <c r="G12" t="s">
        <v>295</v>
      </c>
      <c r="H12" t="s">
        <v>79</v>
      </c>
      <c r="I12" t="s">
        <v>51</v>
      </c>
      <c r="J12" t="s">
        <v>284</v>
      </c>
      <c r="K12" t="s">
        <v>285</v>
      </c>
    </row>
    <row r="13" spans="1:11" x14ac:dyDescent="0.25">
      <c r="A13">
        <v>53</v>
      </c>
      <c r="B13">
        <v>36</v>
      </c>
      <c r="C13" t="s">
        <v>296</v>
      </c>
      <c r="D13" t="s">
        <v>237</v>
      </c>
      <c r="E13" t="s">
        <v>227</v>
      </c>
      <c r="F13" t="s">
        <v>238</v>
      </c>
      <c r="G13" t="s">
        <v>296</v>
      </c>
      <c r="H13" t="s">
        <v>79</v>
      </c>
      <c r="I13" t="s">
        <v>51</v>
      </c>
      <c r="J13" t="s">
        <v>284</v>
      </c>
      <c r="K13" t="s">
        <v>285</v>
      </c>
    </row>
    <row r="14" spans="1:11" x14ac:dyDescent="0.25">
      <c r="A14">
        <v>54</v>
      </c>
      <c r="B14">
        <v>41</v>
      </c>
      <c r="C14" t="s">
        <v>297</v>
      </c>
      <c r="D14" t="s">
        <v>261</v>
      </c>
      <c r="E14" t="s">
        <v>227</v>
      </c>
      <c r="F14" t="s">
        <v>262</v>
      </c>
      <c r="G14" t="s">
        <v>297</v>
      </c>
      <c r="H14" t="s">
        <v>79</v>
      </c>
      <c r="I14" t="s">
        <v>51</v>
      </c>
      <c r="J14" t="s">
        <v>284</v>
      </c>
      <c r="K14" t="s">
        <v>285</v>
      </c>
    </row>
    <row r="15" spans="1:11" x14ac:dyDescent="0.25">
      <c r="A15">
        <v>55</v>
      </c>
      <c r="B15">
        <v>41</v>
      </c>
      <c r="C15" t="s">
        <v>298</v>
      </c>
      <c r="D15" t="s">
        <v>261</v>
      </c>
      <c r="E15" t="s">
        <v>227</v>
      </c>
      <c r="F15" t="s">
        <v>262</v>
      </c>
      <c r="G15" t="s">
        <v>298</v>
      </c>
      <c r="H15" t="s">
        <v>79</v>
      </c>
      <c r="I15" t="s">
        <v>51</v>
      </c>
      <c r="J15" t="s">
        <v>284</v>
      </c>
      <c r="K15" t="s">
        <v>285</v>
      </c>
    </row>
    <row r="16" spans="1:11" x14ac:dyDescent="0.25">
      <c r="A16">
        <v>56</v>
      </c>
      <c r="B16">
        <v>41</v>
      </c>
      <c r="C16" t="s">
        <v>299</v>
      </c>
      <c r="D16" t="s">
        <v>261</v>
      </c>
      <c r="E16" t="s">
        <v>227</v>
      </c>
      <c r="F16" t="s">
        <v>262</v>
      </c>
      <c r="G16" t="s">
        <v>299</v>
      </c>
      <c r="H16" t="s">
        <v>79</v>
      </c>
      <c r="I16" t="s">
        <v>51</v>
      </c>
      <c r="J16" t="s">
        <v>284</v>
      </c>
      <c r="K16" t="s">
        <v>285</v>
      </c>
    </row>
    <row r="17" spans="1:11" x14ac:dyDescent="0.25">
      <c r="A17">
        <v>57</v>
      </c>
      <c r="B17">
        <v>34</v>
      </c>
      <c r="C17" t="s">
        <v>300</v>
      </c>
      <c r="D17" t="s">
        <v>226</v>
      </c>
      <c r="E17" t="s">
        <v>227</v>
      </c>
      <c r="F17" t="s">
        <v>228</v>
      </c>
      <c r="G17" t="s">
        <v>300</v>
      </c>
      <c r="H17" t="s">
        <v>79</v>
      </c>
      <c r="I17" t="s">
        <v>48</v>
      </c>
      <c r="J17" t="s">
        <v>284</v>
      </c>
      <c r="K17" t="s">
        <v>285</v>
      </c>
    </row>
    <row r="18" spans="1:11" x14ac:dyDescent="0.25">
      <c r="A18">
        <v>58</v>
      </c>
      <c r="B18">
        <v>34</v>
      </c>
      <c r="C18" t="s">
        <v>301</v>
      </c>
      <c r="D18" t="s">
        <v>226</v>
      </c>
      <c r="E18" t="s">
        <v>227</v>
      </c>
      <c r="F18" t="s">
        <v>228</v>
      </c>
      <c r="G18" t="s">
        <v>301</v>
      </c>
      <c r="H18" t="s">
        <v>79</v>
      </c>
      <c r="I18" t="s">
        <v>48</v>
      </c>
      <c r="J18" t="s">
        <v>284</v>
      </c>
      <c r="K18" t="s">
        <v>285</v>
      </c>
    </row>
    <row r="19" spans="1:11" x14ac:dyDescent="0.25">
      <c r="A19">
        <v>59</v>
      </c>
      <c r="B19">
        <v>35</v>
      </c>
      <c r="C19" t="s">
        <v>302</v>
      </c>
      <c r="D19" t="s">
        <v>232</v>
      </c>
      <c r="E19" t="s">
        <v>227</v>
      </c>
      <c r="F19" t="s">
        <v>233</v>
      </c>
      <c r="G19" t="s">
        <v>302</v>
      </c>
      <c r="H19" t="s">
        <v>79</v>
      </c>
      <c r="I19" t="s">
        <v>48</v>
      </c>
      <c r="J19" t="s">
        <v>284</v>
      </c>
      <c r="K19" t="s">
        <v>285</v>
      </c>
    </row>
    <row r="20" spans="1:11" x14ac:dyDescent="0.25">
      <c r="A20">
        <v>60</v>
      </c>
      <c r="B20">
        <v>35</v>
      </c>
      <c r="C20" t="s">
        <v>303</v>
      </c>
      <c r="D20" t="s">
        <v>232</v>
      </c>
      <c r="E20" t="s">
        <v>227</v>
      </c>
      <c r="F20" t="s">
        <v>233</v>
      </c>
      <c r="G20" t="s">
        <v>303</v>
      </c>
      <c r="H20" t="s">
        <v>79</v>
      </c>
      <c r="I20" t="s">
        <v>48</v>
      </c>
      <c r="J20" t="s">
        <v>284</v>
      </c>
      <c r="K20" t="s">
        <v>285</v>
      </c>
    </row>
    <row r="21" spans="1:11" x14ac:dyDescent="0.25">
      <c r="A21">
        <v>61</v>
      </c>
      <c r="B21">
        <v>33</v>
      </c>
      <c r="C21" t="s">
        <v>304</v>
      </c>
      <c r="D21" t="s">
        <v>220</v>
      </c>
      <c r="E21" t="s">
        <v>221</v>
      </c>
      <c r="F21" t="s">
        <v>222</v>
      </c>
      <c r="G21" t="s">
        <v>304</v>
      </c>
      <c r="H21" t="s">
        <v>76</v>
      </c>
      <c r="I21" t="s">
        <v>48</v>
      </c>
      <c r="J21" t="s">
        <v>284</v>
      </c>
      <c r="K21" t="s">
        <v>285</v>
      </c>
    </row>
    <row r="22" spans="1:11" x14ac:dyDescent="0.25">
      <c r="A22">
        <v>62</v>
      </c>
      <c r="B22">
        <v>38</v>
      </c>
      <c r="C22" t="s">
        <v>305</v>
      </c>
      <c r="D22" t="s">
        <v>246</v>
      </c>
      <c r="E22" t="s">
        <v>227</v>
      </c>
      <c r="F22" t="s">
        <v>247</v>
      </c>
      <c r="G22" t="s">
        <v>305</v>
      </c>
      <c r="H22" t="s">
        <v>79</v>
      </c>
      <c r="I22" t="s">
        <v>48</v>
      </c>
      <c r="J22" t="s">
        <v>284</v>
      </c>
      <c r="K22" t="s">
        <v>285</v>
      </c>
    </row>
    <row r="23" spans="1:11" x14ac:dyDescent="0.25">
      <c r="A23">
        <v>63</v>
      </c>
      <c r="B23">
        <v>38</v>
      </c>
      <c r="C23" t="s">
        <v>306</v>
      </c>
      <c r="D23" t="s">
        <v>246</v>
      </c>
      <c r="E23" t="s">
        <v>227</v>
      </c>
      <c r="F23" t="s">
        <v>247</v>
      </c>
      <c r="G23" t="s">
        <v>306</v>
      </c>
      <c r="H23" t="s">
        <v>79</v>
      </c>
      <c r="I23" t="s">
        <v>48</v>
      </c>
      <c r="J23" t="s">
        <v>284</v>
      </c>
      <c r="K23" t="s">
        <v>285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4"/>
  <sheetViews>
    <sheetView topLeftCell="E1" workbookViewId="0"/>
  </sheetViews>
  <sheetFormatPr defaultRowHeight="15" x14ac:dyDescent="0.25"/>
  <cols>
    <col min="1" max="1" width="12.85546875" bestFit="1" customWidth="1"/>
    <col min="2" max="2" width="20" bestFit="1" customWidth="1"/>
    <col min="3" max="3" width="35.42578125" bestFit="1" customWidth="1"/>
    <col min="4" max="4" width="12.85546875" bestFit="1" customWidth="1"/>
    <col min="5" max="5" width="13.85546875" bestFit="1" customWidth="1"/>
    <col min="6" max="6" width="35.7109375" bestFit="1" customWidth="1"/>
    <col min="7" max="7" width="126.42578125" bestFit="1" customWidth="1"/>
    <col min="8" max="8" width="11.140625" bestFit="1" customWidth="1"/>
    <col min="9" max="9" width="11.42578125" bestFit="1" customWidth="1"/>
    <col min="10" max="10" width="27.7109375" bestFit="1" customWidth="1"/>
    <col min="11" max="11" width="11.28515625" bestFit="1" customWidth="1"/>
  </cols>
  <sheetData>
    <row r="1" spans="1:11" x14ac:dyDescent="0.25">
      <c r="A1" t="s">
        <v>82</v>
      </c>
      <c r="B1" t="s">
        <v>281</v>
      </c>
      <c r="C1" t="s">
        <v>83</v>
      </c>
      <c r="D1" t="s">
        <v>84</v>
      </c>
      <c r="E1" t="s">
        <v>85</v>
      </c>
      <c r="F1" t="s">
        <v>86</v>
      </c>
      <c r="G1" t="s">
        <v>87</v>
      </c>
      <c r="H1" t="s">
        <v>54</v>
      </c>
      <c r="I1" t="s">
        <v>33</v>
      </c>
      <c r="J1" t="s">
        <v>88</v>
      </c>
      <c r="K1" t="s">
        <v>282</v>
      </c>
    </row>
    <row r="2" spans="1:11" x14ac:dyDescent="0.25">
      <c r="A2">
        <v>1</v>
      </c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56</v>
      </c>
      <c r="I2" t="s">
        <v>36</v>
      </c>
      <c r="J2" t="s">
        <v>94</v>
      </c>
      <c r="K2" t="s">
        <v>307</v>
      </c>
    </row>
    <row r="3" spans="1:11" x14ac:dyDescent="0.25">
      <c r="A3">
        <v>2</v>
      </c>
      <c r="C3" t="s">
        <v>95</v>
      </c>
      <c r="D3" t="s">
        <v>96</v>
      </c>
      <c r="E3" t="s">
        <v>97</v>
      </c>
      <c r="F3" t="s">
        <v>98</v>
      </c>
      <c r="G3" t="s">
        <v>99</v>
      </c>
      <c r="H3" t="s">
        <v>56</v>
      </c>
      <c r="I3" t="s">
        <v>36</v>
      </c>
      <c r="J3" t="s">
        <v>94</v>
      </c>
      <c r="K3" t="s">
        <v>307</v>
      </c>
    </row>
    <row r="4" spans="1:11" x14ac:dyDescent="0.25">
      <c r="A4">
        <v>3</v>
      </c>
      <c r="C4" t="s">
        <v>100</v>
      </c>
      <c r="D4" t="s">
        <v>96</v>
      </c>
      <c r="E4" t="s">
        <v>97</v>
      </c>
      <c r="F4" t="s">
        <v>98</v>
      </c>
      <c r="G4" t="s">
        <v>101</v>
      </c>
      <c r="H4" t="s">
        <v>56</v>
      </c>
      <c r="I4" t="s">
        <v>36</v>
      </c>
      <c r="J4" t="s">
        <v>94</v>
      </c>
      <c r="K4" t="s">
        <v>307</v>
      </c>
    </row>
    <row r="5" spans="1:11" x14ac:dyDescent="0.25">
      <c r="A5">
        <v>4</v>
      </c>
      <c r="C5" t="s">
        <v>102</v>
      </c>
      <c r="D5" t="s">
        <v>103</v>
      </c>
      <c r="E5" t="s">
        <v>60</v>
      </c>
      <c r="F5" t="s">
        <v>104</v>
      </c>
      <c r="G5" t="s">
        <v>105</v>
      </c>
      <c r="H5" t="s">
        <v>59</v>
      </c>
      <c r="I5" t="s">
        <v>39</v>
      </c>
      <c r="J5" t="s">
        <v>106</v>
      </c>
      <c r="K5" t="s">
        <v>307</v>
      </c>
    </row>
    <row r="6" spans="1:11" x14ac:dyDescent="0.25">
      <c r="A6">
        <v>5</v>
      </c>
      <c r="C6" t="s">
        <v>107</v>
      </c>
      <c r="D6" t="s">
        <v>103</v>
      </c>
      <c r="E6" t="s">
        <v>60</v>
      </c>
      <c r="F6" t="s">
        <v>104</v>
      </c>
      <c r="G6" t="s">
        <v>108</v>
      </c>
      <c r="H6" t="s">
        <v>59</v>
      </c>
      <c r="I6" t="s">
        <v>39</v>
      </c>
      <c r="J6" t="s">
        <v>109</v>
      </c>
      <c r="K6" t="s">
        <v>307</v>
      </c>
    </row>
    <row r="7" spans="1:11" x14ac:dyDescent="0.25">
      <c r="A7">
        <v>6</v>
      </c>
      <c r="C7" t="s">
        <v>110</v>
      </c>
      <c r="D7" t="s">
        <v>111</v>
      </c>
      <c r="E7" t="s">
        <v>112</v>
      </c>
      <c r="F7" t="s">
        <v>113</v>
      </c>
      <c r="G7" t="s">
        <v>114</v>
      </c>
      <c r="H7" t="s">
        <v>62</v>
      </c>
      <c r="I7" t="s">
        <v>42</v>
      </c>
      <c r="J7" t="s">
        <v>115</v>
      </c>
      <c r="K7" t="s">
        <v>307</v>
      </c>
    </row>
    <row r="8" spans="1:11" x14ac:dyDescent="0.25">
      <c r="A8">
        <v>7</v>
      </c>
      <c r="C8" t="s">
        <v>116</v>
      </c>
      <c r="D8" t="s">
        <v>117</v>
      </c>
      <c r="E8" t="s">
        <v>118</v>
      </c>
      <c r="F8" t="s">
        <v>119</v>
      </c>
      <c r="G8" t="s">
        <v>120</v>
      </c>
      <c r="H8" t="s">
        <v>62</v>
      </c>
      <c r="I8" t="s">
        <v>42</v>
      </c>
      <c r="J8" t="s">
        <v>121</v>
      </c>
      <c r="K8" t="s">
        <v>307</v>
      </c>
    </row>
    <row r="9" spans="1:11" x14ac:dyDescent="0.25">
      <c r="A9">
        <v>8</v>
      </c>
      <c r="C9" t="s">
        <v>122</v>
      </c>
      <c r="D9" t="s">
        <v>117</v>
      </c>
      <c r="E9" t="s">
        <v>118</v>
      </c>
      <c r="F9" t="s">
        <v>123</v>
      </c>
      <c r="G9" t="s">
        <v>124</v>
      </c>
      <c r="H9" t="s">
        <v>62</v>
      </c>
      <c r="I9" t="s">
        <v>42</v>
      </c>
      <c r="J9" t="s">
        <v>125</v>
      </c>
      <c r="K9" t="s">
        <v>307</v>
      </c>
    </row>
    <row r="10" spans="1:11" x14ac:dyDescent="0.25">
      <c r="A10">
        <v>9</v>
      </c>
      <c r="C10" t="s">
        <v>126</v>
      </c>
      <c r="D10" t="s">
        <v>127</v>
      </c>
      <c r="E10" t="s">
        <v>128</v>
      </c>
      <c r="F10" t="s">
        <v>129</v>
      </c>
      <c r="G10" t="s">
        <v>130</v>
      </c>
      <c r="H10" t="s">
        <v>65</v>
      </c>
      <c r="I10" t="s">
        <v>42</v>
      </c>
      <c r="J10" t="s">
        <v>115</v>
      </c>
      <c r="K10" t="s">
        <v>307</v>
      </c>
    </row>
    <row r="11" spans="1:11" x14ac:dyDescent="0.25">
      <c r="A11">
        <v>10</v>
      </c>
      <c r="C11" t="s">
        <v>131</v>
      </c>
      <c r="D11" t="s">
        <v>127</v>
      </c>
      <c r="E11" t="s">
        <v>128</v>
      </c>
      <c r="F11" t="s">
        <v>129</v>
      </c>
      <c r="G11" t="s">
        <v>132</v>
      </c>
      <c r="H11" t="s">
        <v>65</v>
      </c>
      <c r="I11" t="s">
        <v>42</v>
      </c>
      <c r="J11" t="s">
        <v>133</v>
      </c>
      <c r="K11" t="s">
        <v>307</v>
      </c>
    </row>
    <row r="12" spans="1:11" x14ac:dyDescent="0.25">
      <c r="A12">
        <v>11</v>
      </c>
      <c r="C12" t="s">
        <v>134</v>
      </c>
      <c r="D12" t="s">
        <v>135</v>
      </c>
      <c r="E12" t="s">
        <v>136</v>
      </c>
      <c r="F12" t="s">
        <v>137</v>
      </c>
      <c r="G12" t="s">
        <v>138</v>
      </c>
      <c r="H12" t="s">
        <v>65</v>
      </c>
      <c r="I12" t="s">
        <v>42</v>
      </c>
      <c r="J12" t="s">
        <v>139</v>
      </c>
      <c r="K12" t="s">
        <v>307</v>
      </c>
    </row>
    <row r="13" spans="1:11" x14ac:dyDescent="0.25">
      <c r="A13">
        <v>12</v>
      </c>
      <c r="C13" t="s">
        <v>140</v>
      </c>
      <c r="D13" t="s">
        <v>141</v>
      </c>
      <c r="E13" t="s">
        <v>142</v>
      </c>
      <c r="F13" t="s">
        <v>143</v>
      </c>
      <c r="G13" t="s">
        <v>144</v>
      </c>
      <c r="H13" t="s">
        <v>65</v>
      </c>
      <c r="I13" t="s">
        <v>42</v>
      </c>
      <c r="J13" t="s">
        <v>139</v>
      </c>
      <c r="K13" t="s">
        <v>307</v>
      </c>
    </row>
    <row r="14" spans="1:11" x14ac:dyDescent="0.25">
      <c r="A14">
        <v>13</v>
      </c>
      <c r="C14" t="s">
        <v>145</v>
      </c>
      <c r="D14" t="s">
        <v>146</v>
      </c>
      <c r="E14" t="s">
        <v>147</v>
      </c>
      <c r="F14" t="s">
        <v>148</v>
      </c>
      <c r="G14" t="s">
        <v>149</v>
      </c>
      <c r="H14" t="s">
        <v>65</v>
      </c>
      <c r="I14" t="s">
        <v>42</v>
      </c>
      <c r="J14" t="s">
        <v>150</v>
      </c>
      <c r="K14" t="s">
        <v>307</v>
      </c>
    </row>
    <row r="15" spans="1:11" x14ac:dyDescent="0.25">
      <c r="A15">
        <v>14</v>
      </c>
      <c r="C15" t="s">
        <v>151</v>
      </c>
      <c r="D15" t="s">
        <v>146</v>
      </c>
      <c r="E15" t="s">
        <v>147</v>
      </c>
      <c r="F15" t="s">
        <v>148</v>
      </c>
      <c r="G15" t="s">
        <v>152</v>
      </c>
      <c r="H15" t="s">
        <v>65</v>
      </c>
      <c r="I15" t="s">
        <v>42</v>
      </c>
      <c r="J15" t="s">
        <v>153</v>
      </c>
      <c r="K15" t="s">
        <v>307</v>
      </c>
    </row>
    <row r="16" spans="1:11" x14ac:dyDescent="0.25">
      <c r="A16">
        <v>15</v>
      </c>
      <c r="C16" t="s">
        <v>154</v>
      </c>
      <c r="D16" t="s">
        <v>155</v>
      </c>
      <c r="E16" t="s">
        <v>156</v>
      </c>
      <c r="F16" t="s">
        <v>148</v>
      </c>
      <c r="G16" t="s">
        <v>157</v>
      </c>
      <c r="H16" t="s">
        <v>65</v>
      </c>
      <c r="I16" t="s">
        <v>42</v>
      </c>
      <c r="J16" t="s">
        <v>94</v>
      </c>
      <c r="K16" t="s">
        <v>307</v>
      </c>
    </row>
    <row r="17" spans="1:11" x14ac:dyDescent="0.25">
      <c r="A17">
        <v>16</v>
      </c>
      <c r="C17" t="s">
        <v>158</v>
      </c>
      <c r="D17" t="s">
        <v>159</v>
      </c>
      <c r="E17" t="s">
        <v>156</v>
      </c>
      <c r="F17" t="s">
        <v>148</v>
      </c>
      <c r="G17" t="s">
        <v>160</v>
      </c>
      <c r="H17" t="s">
        <v>65</v>
      </c>
      <c r="I17" t="s">
        <v>42</v>
      </c>
      <c r="J17" t="s">
        <v>161</v>
      </c>
      <c r="K17" t="s">
        <v>307</v>
      </c>
    </row>
    <row r="18" spans="1:11" x14ac:dyDescent="0.25">
      <c r="A18">
        <v>17</v>
      </c>
      <c r="C18" t="s">
        <v>162</v>
      </c>
      <c r="D18" t="s">
        <v>163</v>
      </c>
      <c r="E18" t="s">
        <v>164</v>
      </c>
      <c r="F18" t="s">
        <v>165</v>
      </c>
      <c r="G18" t="s">
        <v>166</v>
      </c>
      <c r="H18" t="s">
        <v>68</v>
      </c>
      <c r="I18" t="s">
        <v>45</v>
      </c>
      <c r="J18" t="s">
        <v>167</v>
      </c>
      <c r="K18" t="s">
        <v>307</v>
      </c>
    </row>
    <row r="19" spans="1:11" x14ac:dyDescent="0.25">
      <c r="A19">
        <v>18</v>
      </c>
      <c r="C19" t="s">
        <v>168</v>
      </c>
      <c r="D19" t="s">
        <v>71</v>
      </c>
      <c r="E19" t="s">
        <v>72</v>
      </c>
      <c r="F19" t="s">
        <v>165</v>
      </c>
      <c r="G19" t="s">
        <v>169</v>
      </c>
      <c r="H19" t="s">
        <v>71</v>
      </c>
      <c r="I19" t="s">
        <v>48</v>
      </c>
      <c r="J19" t="s">
        <v>170</v>
      </c>
      <c r="K19" t="s">
        <v>307</v>
      </c>
    </row>
    <row r="20" spans="1:11" x14ac:dyDescent="0.25">
      <c r="A20">
        <v>19</v>
      </c>
      <c r="C20" t="s">
        <v>171</v>
      </c>
      <c r="D20" t="s">
        <v>71</v>
      </c>
      <c r="E20" t="s">
        <v>72</v>
      </c>
      <c r="F20" t="s">
        <v>172</v>
      </c>
      <c r="G20" t="s">
        <v>173</v>
      </c>
      <c r="H20" t="s">
        <v>71</v>
      </c>
      <c r="I20" t="s">
        <v>48</v>
      </c>
      <c r="J20" t="s">
        <v>174</v>
      </c>
      <c r="K20" t="s">
        <v>307</v>
      </c>
    </row>
    <row r="21" spans="1:11" x14ac:dyDescent="0.25">
      <c r="A21">
        <v>20</v>
      </c>
      <c r="C21" t="s">
        <v>175</v>
      </c>
      <c r="D21" t="s">
        <v>71</v>
      </c>
      <c r="E21" t="s">
        <v>72</v>
      </c>
      <c r="F21" t="s">
        <v>165</v>
      </c>
      <c r="G21" t="s">
        <v>176</v>
      </c>
      <c r="H21" t="s">
        <v>71</v>
      </c>
      <c r="I21" t="s">
        <v>48</v>
      </c>
      <c r="J21" t="s">
        <v>177</v>
      </c>
      <c r="K21" t="s">
        <v>307</v>
      </c>
    </row>
    <row r="22" spans="1:11" x14ac:dyDescent="0.25">
      <c r="A22">
        <v>21</v>
      </c>
      <c r="C22" t="s">
        <v>178</v>
      </c>
      <c r="D22" t="s">
        <v>71</v>
      </c>
      <c r="E22" t="s">
        <v>72</v>
      </c>
      <c r="F22" t="s">
        <v>165</v>
      </c>
      <c r="G22" t="s">
        <v>179</v>
      </c>
      <c r="H22" t="s">
        <v>71</v>
      </c>
      <c r="I22" t="s">
        <v>48</v>
      </c>
      <c r="J22" t="s">
        <v>94</v>
      </c>
      <c r="K22" t="s">
        <v>307</v>
      </c>
    </row>
    <row r="23" spans="1:11" x14ac:dyDescent="0.25">
      <c r="A23">
        <v>22</v>
      </c>
      <c r="C23" t="s">
        <v>180</v>
      </c>
      <c r="D23" t="s">
        <v>71</v>
      </c>
      <c r="E23" t="s">
        <v>72</v>
      </c>
      <c r="F23" t="s">
        <v>181</v>
      </c>
      <c r="G23" t="s">
        <v>182</v>
      </c>
      <c r="H23" t="s">
        <v>71</v>
      </c>
      <c r="I23" t="s">
        <v>48</v>
      </c>
      <c r="J23" t="s">
        <v>183</v>
      </c>
      <c r="K23" t="s">
        <v>307</v>
      </c>
    </row>
    <row r="24" spans="1:11" x14ac:dyDescent="0.25">
      <c r="A24">
        <v>23</v>
      </c>
      <c r="C24" t="s">
        <v>184</v>
      </c>
      <c r="D24" t="s">
        <v>71</v>
      </c>
      <c r="E24" t="s">
        <v>72</v>
      </c>
      <c r="F24" t="s">
        <v>185</v>
      </c>
      <c r="G24" t="s">
        <v>186</v>
      </c>
      <c r="H24" t="s">
        <v>71</v>
      </c>
      <c r="I24" t="s">
        <v>48</v>
      </c>
      <c r="J24" t="s">
        <v>187</v>
      </c>
      <c r="K24" t="s">
        <v>307</v>
      </c>
    </row>
    <row r="25" spans="1:11" x14ac:dyDescent="0.25">
      <c r="A25">
        <v>24</v>
      </c>
      <c r="C25" t="s">
        <v>188</v>
      </c>
      <c r="D25" t="s">
        <v>71</v>
      </c>
      <c r="E25" t="s">
        <v>72</v>
      </c>
      <c r="F25" t="s">
        <v>189</v>
      </c>
      <c r="G25" t="s">
        <v>190</v>
      </c>
      <c r="H25" t="s">
        <v>71</v>
      </c>
      <c r="I25" t="s">
        <v>48</v>
      </c>
      <c r="J25" t="s">
        <v>191</v>
      </c>
      <c r="K25" t="s">
        <v>307</v>
      </c>
    </row>
    <row r="26" spans="1:11" x14ac:dyDescent="0.25">
      <c r="A26">
        <v>25</v>
      </c>
      <c r="C26" t="s">
        <v>192</v>
      </c>
      <c r="D26" t="s">
        <v>71</v>
      </c>
      <c r="E26" t="s">
        <v>72</v>
      </c>
      <c r="F26" t="s">
        <v>193</v>
      </c>
      <c r="G26" t="s">
        <v>194</v>
      </c>
      <c r="H26" t="s">
        <v>71</v>
      </c>
      <c r="I26" t="s">
        <v>48</v>
      </c>
      <c r="J26" t="s">
        <v>195</v>
      </c>
      <c r="K26" t="s">
        <v>307</v>
      </c>
    </row>
    <row r="27" spans="1:11" x14ac:dyDescent="0.25">
      <c r="A27">
        <v>26</v>
      </c>
      <c r="C27" t="s">
        <v>196</v>
      </c>
      <c r="D27" t="s">
        <v>71</v>
      </c>
      <c r="E27" t="s">
        <v>72</v>
      </c>
      <c r="F27" t="s">
        <v>197</v>
      </c>
      <c r="G27" t="s">
        <v>198</v>
      </c>
      <c r="H27" t="s">
        <v>71</v>
      </c>
      <c r="I27" t="s">
        <v>48</v>
      </c>
      <c r="J27" t="s">
        <v>199</v>
      </c>
      <c r="K27" t="s">
        <v>307</v>
      </c>
    </row>
    <row r="28" spans="1:11" x14ac:dyDescent="0.25">
      <c r="A28">
        <v>27</v>
      </c>
      <c r="C28" t="s">
        <v>200</v>
      </c>
      <c r="D28" t="s">
        <v>71</v>
      </c>
      <c r="E28" t="s">
        <v>72</v>
      </c>
      <c r="F28" t="s">
        <v>201</v>
      </c>
      <c r="G28" t="s">
        <v>202</v>
      </c>
      <c r="H28" t="s">
        <v>71</v>
      </c>
      <c r="I28" t="s">
        <v>48</v>
      </c>
      <c r="J28" t="s">
        <v>133</v>
      </c>
      <c r="K28" t="s">
        <v>307</v>
      </c>
    </row>
    <row r="29" spans="1:11" x14ac:dyDescent="0.25">
      <c r="A29">
        <v>28</v>
      </c>
      <c r="C29" t="s">
        <v>203</v>
      </c>
      <c r="D29" t="s">
        <v>71</v>
      </c>
      <c r="E29" t="s">
        <v>72</v>
      </c>
      <c r="F29" t="s">
        <v>204</v>
      </c>
      <c r="G29" t="s">
        <v>205</v>
      </c>
      <c r="H29" t="s">
        <v>71</v>
      </c>
      <c r="I29" t="s">
        <v>48</v>
      </c>
      <c r="J29" t="s">
        <v>121</v>
      </c>
      <c r="K29" t="s">
        <v>307</v>
      </c>
    </row>
    <row r="30" spans="1:11" x14ac:dyDescent="0.25">
      <c r="A30">
        <v>29</v>
      </c>
      <c r="C30" t="s">
        <v>206</v>
      </c>
      <c r="D30" t="s">
        <v>71</v>
      </c>
      <c r="E30" t="s">
        <v>72</v>
      </c>
      <c r="F30" t="s">
        <v>207</v>
      </c>
      <c r="G30" t="s">
        <v>208</v>
      </c>
      <c r="H30" t="s">
        <v>71</v>
      </c>
      <c r="I30" t="s">
        <v>48</v>
      </c>
      <c r="J30" t="s">
        <v>191</v>
      </c>
      <c r="K30" t="s">
        <v>307</v>
      </c>
    </row>
    <row r="31" spans="1:11" x14ac:dyDescent="0.25">
      <c r="A31">
        <v>30</v>
      </c>
      <c r="C31" t="s">
        <v>209</v>
      </c>
      <c r="D31" t="s">
        <v>71</v>
      </c>
      <c r="E31" t="s">
        <v>72</v>
      </c>
      <c r="F31" t="s">
        <v>209</v>
      </c>
      <c r="G31" t="s">
        <v>210</v>
      </c>
      <c r="H31" t="s">
        <v>71</v>
      </c>
      <c r="I31" t="s">
        <v>48</v>
      </c>
      <c r="J31" t="s">
        <v>211</v>
      </c>
      <c r="K31" t="s">
        <v>307</v>
      </c>
    </row>
    <row r="32" spans="1:11" x14ac:dyDescent="0.25">
      <c r="A32">
        <v>31</v>
      </c>
      <c r="C32" t="s">
        <v>212</v>
      </c>
      <c r="D32" t="s">
        <v>71</v>
      </c>
      <c r="E32" t="s">
        <v>72</v>
      </c>
      <c r="F32" t="s">
        <v>213</v>
      </c>
      <c r="G32" t="s">
        <v>214</v>
      </c>
      <c r="H32" t="s">
        <v>71</v>
      </c>
      <c r="I32" t="s">
        <v>48</v>
      </c>
      <c r="J32" t="s">
        <v>106</v>
      </c>
      <c r="K32" t="s">
        <v>307</v>
      </c>
    </row>
    <row r="33" spans="1:11" x14ac:dyDescent="0.25">
      <c r="A33">
        <v>32</v>
      </c>
      <c r="C33" t="s">
        <v>215</v>
      </c>
      <c r="D33" t="s">
        <v>74</v>
      </c>
      <c r="E33" t="s">
        <v>72</v>
      </c>
      <c r="F33" t="s">
        <v>216</v>
      </c>
      <c r="G33" t="s">
        <v>217</v>
      </c>
      <c r="H33" t="s">
        <v>74</v>
      </c>
      <c r="I33" t="s">
        <v>48</v>
      </c>
      <c r="J33" t="s">
        <v>218</v>
      </c>
      <c r="K33" t="s">
        <v>307</v>
      </c>
    </row>
    <row r="34" spans="1:11" x14ac:dyDescent="0.25">
      <c r="A34">
        <v>33</v>
      </c>
      <c r="C34" t="s">
        <v>219</v>
      </c>
      <c r="D34" t="s">
        <v>220</v>
      </c>
      <c r="E34" t="s">
        <v>221</v>
      </c>
      <c r="F34" t="s">
        <v>222</v>
      </c>
      <c r="G34" t="s">
        <v>223</v>
      </c>
      <c r="H34" t="s">
        <v>76</v>
      </c>
      <c r="I34" t="s">
        <v>48</v>
      </c>
      <c r="J34" t="s">
        <v>224</v>
      </c>
      <c r="K34" t="s">
        <v>307</v>
      </c>
    </row>
    <row r="35" spans="1:11" x14ac:dyDescent="0.25">
      <c r="A35">
        <v>34</v>
      </c>
      <c r="C35" t="s">
        <v>225</v>
      </c>
      <c r="D35" t="s">
        <v>226</v>
      </c>
      <c r="E35" t="s">
        <v>227</v>
      </c>
      <c r="F35" t="s">
        <v>228</v>
      </c>
      <c r="G35" t="s">
        <v>229</v>
      </c>
      <c r="H35" t="s">
        <v>79</v>
      </c>
      <c r="I35" t="s">
        <v>48</v>
      </c>
      <c r="J35" t="s">
        <v>230</v>
      </c>
      <c r="K35" t="s">
        <v>307</v>
      </c>
    </row>
    <row r="36" spans="1:11" x14ac:dyDescent="0.25">
      <c r="A36">
        <v>35</v>
      </c>
      <c r="C36" t="s">
        <v>231</v>
      </c>
      <c r="D36" t="s">
        <v>232</v>
      </c>
      <c r="E36" t="s">
        <v>227</v>
      </c>
      <c r="F36" t="s">
        <v>233</v>
      </c>
      <c r="G36" t="s">
        <v>234</v>
      </c>
      <c r="H36" t="s">
        <v>79</v>
      </c>
      <c r="I36" t="s">
        <v>48</v>
      </c>
      <c r="J36" t="s">
        <v>235</v>
      </c>
      <c r="K36" t="s">
        <v>307</v>
      </c>
    </row>
    <row r="37" spans="1:11" x14ac:dyDescent="0.25">
      <c r="A37">
        <v>36</v>
      </c>
      <c r="C37" t="s">
        <v>236</v>
      </c>
      <c r="D37" t="s">
        <v>237</v>
      </c>
      <c r="E37" t="s">
        <v>227</v>
      </c>
      <c r="F37" t="s">
        <v>238</v>
      </c>
      <c r="G37" t="s">
        <v>239</v>
      </c>
      <c r="H37" t="s">
        <v>79</v>
      </c>
      <c r="I37" t="s">
        <v>51</v>
      </c>
      <c r="J37" t="s">
        <v>240</v>
      </c>
      <c r="K37" t="s">
        <v>307</v>
      </c>
    </row>
    <row r="38" spans="1:11" x14ac:dyDescent="0.25">
      <c r="A38">
        <v>37</v>
      </c>
      <c r="C38" t="s">
        <v>241</v>
      </c>
      <c r="D38" t="s">
        <v>242</v>
      </c>
      <c r="E38" t="s">
        <v>227</v>
      </c>
      <c r="F38" t="s">
        <v>243</v>
      </c>
      <c r="G38" t="s">
        <v>244</v>
      </c>
      <c r="H38" t="s">
        <v>79</v>
      </c>
      <c r="I38" t="s">
        <v>48</v>
      </c>
      <c r="J38" t="s">
        <v>230</v>
      </c>
      <c r="K38" t="s">
        <v>307</v>
      </c>
    </row>
    <row r="39" spans="1:11" x14ac:dyDescent="0.25">
      <c r="A39">
        <v>38</v>
      </c>
      <c r="C39" t="s">
        <v>245</v>
      </c>
      <c r="D39" t="s">
        <v>246</v>
      </c>
      <c r="E39" t="s">
        <v>227</v>
      </c>
      <c r="F39" t="s">
        <v>247</v>
      </c>
      <c r="G39" t="s">
        <v>248</v>
      </c>
      <c r="H39" t="s">
        <v>79</v>
      </c>
      <c r="I39" t="s">
        <v>48</v>
      </c>
      <c r="J39" t="s">
        <v>249</v>
      </c>
      <c r="K39" t="s">
        <v>307</v>
      </c>
    </row>
    <row r="40" spans="1:11" x14ac:dyDescent="0.25">
      <c r="A40">
        <v>39</v>
      </c>
      <c r="C40" t="s">
        <v>250</v>
      </c>
      <c r="D40" t="s">
        <v>251</v>
      </c>
      <c r="E40" t="s">
        <v>227</v>
      </c>
      <c r="F40" t="s">
        <v>252</v>
      </c>
      <c r="G40" t="s">
        <v>253</v>
      </c>
      <c r="H40" t="s">
        <v>79</v>
      </c>
      <c r="I40" t="s">
        <v>48</v>
      </c>
      <c r="J40" t="s">
        <v>254</v>
      </c>
      <c r="K40" t="s">
        <v>307</v>
      </c>
    </row>
    <row r="41" spans="1:11" x14ac:dyDescent="0.25">
      <c r="A41">
        <v>40</v>
      </c>
      <c r="C41" t="s">
        <v>255</v>
      </c>
      <c r="D41" t="s">
        <v>256</v>
      </c>
      <c r="E41" t="s">
        <v>227</v>
      </c>
      <c r="F41" t="s">
        <v>257</v>
      </c>
      <c r="G41" t="s">
        <v>258</v>
      </c>
      <c r="H41" t="s">
        <v>79</v>
      </c>
      <c r="I41" t="s">
        <v>48</v>
      </c>
      <c r="J41" t="s">
        <v>259</v>
      </c>
      <c r="K41" t="s">
        <v>307</v>
      </c>
    </row>
    <row r="42" spans="1:11" x14ac:dyDescent="0.25">
      <c r="A42">
        <v>41</v>
      </c>
      <c r="C42" t="s">
        <v>260</v>
      </c>
      <c r="D42" t="s">
        <v>261</v>
      </c>
      <c r="E42" t="s">
        <v>227</v>
      </c>
      <c r="F42" t="s">
        <v>262</v>
      </c>
      <c r="G42" t="s">
        <v>263</v>
      </c>
      <c r="H42" t="s">
        <v>79</v>
      </c>
      <c r="I42" t="s">
        <v>51</v>
      </c>
      <c r="J42" t="s">
        <v>264</v>
      </c>
      <c r="K42" t="s">
        <v>307</v>
      </c>
    </row>
    <row r="43" spans="1:11" x14ac:dyDescent="0.25">
      <c r="A43">
        <v>42</v>
      </c>
      <c r="B43">
        <v>39</v>
      </c>
      <c r="C43" t="s">
        <v>283</v>
      </c>
      <c r="D43" t="s">
        <v>251</v>
      </c>
      <c r="E43" t="s">
        <v>227</v>
      </c>
      <c r="F43" t="s">
        <v>252</v>
      </c>
      <c r="G43" t="s">
        <v>283</v>
      </c>
      <c r="H43" t="s">
        <v>79</v>
      </c>
      <c r="I43" t="s">
        <v>48</v>
      </c>
      <c r="J43" t="s">
        <v>284</v>
      </c>
      <c r="K43" t="s">
        <v>285</v>
      </c>
    </row>
    <row r="44" spans="1:11" x14ac:dyDescent="0.25">
      <c r="A44">
        <v>43</v>
      </c>
      <c r="B44">
        <v>39</v>
      </c>
      <c r="C44" t="s">
        <v>286</v>
      </c>
      <c r="D44" t="s">
        <v>251</v>
      </c>
      <c r="E44" t="s">
        <v>227</v>
      </c>
      <c r="F44" t="s">
        <v>252</v>
      </c>
      <c r="G44" t="s">
        <v>286</v>
      </c>
      <c r="H44" t="s">
        <v>79</v>
      </c>
      <c r="I44" t="s">
        <v>48</v>
      </c>
      <c r="J44" t="s">
        <v>284</v>
      </c>
      <c r="K44" t="s">
        <v>285</v>
      </c>
    </row>
    <row r="45" spans="1:11" x14ac:dyDescent="0.25">
      <c r="A45">
        <v>44</v>
      </c>
      <c r="B45">
        <v>39</v>
      </c>
      <c r="C45" t="s">
        <v>287</v>
      </c>
      <c r="D45" t="s">
        <v>251</v>
      </c>
      <c r="E45" t="s">
        <v>227</v>
      </c>
      <c r="F45" t="s">
        <v>252</v>
      </c>
      <c r="G45" t="s">
        <v>287</v>
      </c>
      <c r="H45" t="s">
        <v>79</v>
      </c>
      <c r="I45" t="s">
        <v>48</v>
      </c>
      <c r="J45" t="s">
        <v>284</v>
      </c>
      <c r="K45" t="s">
        <v>285</v>
      </c>
    </row>
    <row r="46" spans="1:11" x14ac:dyDescent="0.25">
      <c r="A46">
        <v>45</v>
      </c>
      <c r="B46">
        <v>39</v>
      </c>
      <c r="C46" t="s">
        <v>288</v>
      </c>
      <c r="D46" t="s">
        <v>251</v>
      </c>
      <c r="E46" t="s">
        <v>227</v>
      </c>
      <c r="F46" t="s">
        <v>252</v>
      </c>
      <c r="G46" t="s">
        <v>288</v>
      </c>
      <c r="H46" t="s">
        <v>79</v>
      </c>
      <c r="I46" t="s">
        <v>48</v>
      </c>
      <c r="J46" t="s">
        <v>284</v>
      </c>
      <c r="K46" t="s">
        <v>285</v>
      </c>
    </row>
    <row r="47" spans="1:11" x14ac:dyDescent="0.25">
      <c r="A47">
        <v>46</v>
      </c>
      <c r="B47">
        <v>39</v>
      </c>
      <c r="C47" t="s">
        <v>289</v>
      </c>
      <c r="D47" t="s">
        <v>251</v>
      </c>
      <c r="E47" t="s">
        <v>227</v>
      </c>
      <c r="F47" t="s">
        <v>252</v>
      </c>
      <c r="G47" t="s">
        <v>289</v>
      </c>
      <c r="H47" t="s">
        <v>79</v>
      </c>
      <c r="I47" t="s">
        <v>48</v>
      </c>
      <c r="J47" t="s">
        <v>284</v>
      </c>
      <c r="K47" t="s">
        <v>285</v>
      </c>
    </row>
    <row r="48" spans="1:11" x14ac:dyDescent="0.25">
      <c r="A48">
        <v>47</v>
      </c>
      <c r="B48">
        <v>39</v>
      </c>
      <c r="C48" t="s">
        <v>290</v>
      </c>
      <c r="D48" t="s">
        <v>251</v>
      </c>
      <c r="E48" t="s">
        <v>227</v>
      </c>
      <c r="F48" t="s">
        <v>252</v>
      </c>
      <c r="G48" t="s">
        <v>290</v>
      </c>
      <c r="H48" t="s">
        <v>79</v>
      </c>
      <c r="I48" t="s">
        <v>48</v>
      </c>
      <c r="J48" t="s">
        <v>284</v>
      </c>
      <c r="K48" t="s">
        <v>285</v>
      </c>
    </row>
    <row r="49" spans="1:11" x14ac:dyDescent="0.25">
      <c r="A49">
        <v>48</v>
      </c>
      <c r="B49">
        <v>40</v>
      </c>
      <c r="C49" t="s">
        <v>291</v>
      </c>
      <c r="D49" t="s">
        <v>256</v>
      </c>
      <c r="E49" t="s">
        <v>227</v>
      </c>
      <c r="F49" t="s">
        <v>257</v>
      </c>
      <c r="G49" t="s">
        <v>291</v>
      </c>
      <c r="H49" t="s">
        <v>79</v>
      </c>
      <c r="I49" t="s">
        <v>48</v>
      </c>
      <c r="J49" t="s">
        <v>284</v>
      </c>
      <c r="K49" t="s">
        <v>285</v>
      </c>
    </row>
    <row r="50" spans="1:11" x14ac:dyDescent="0.25">
      <c r="A50">
        <v>49</v>
      </c>
      <c r="B50">
        <v>40</v>
      </c>
      <c r="C50" t="s">
        <v>292</v>
      </c>
      <c r="D50" t="s">
        <v>256</v>
      </c>
      <c r="E50" t="s">
        <v>227</v>
      </c>
      <c r="F50" t="s">
        <v>257</v>
      </c>
      <c r="G50" t="s">
        <v>292</v>
      </c>
      <c r="H50" t="s">
        <v>79</v>
      </c>
      <c r="I50" t="s">
        <v>48</v>
      </c>
      <c r="J50" t="s">
        <v>284</v>
      </c>
      <c r="K50" t="s">
        <v>285</v>
      </c>
    </row>
    <row r="51" spans="1:11" x14ac:dyDescent="0.25">
      <c r="A51">
        <v>50</v>
      </c>
      <c r="B51">
        <v>40</v>
      </c>
      <c r="C51" t="s">
        <v>293</v>
      </c>
      <c r="D51" t="s">
        <v>256</v>
      </c>
      <c r="E51" t="s">
        <v>227</v>
      </c>
      <c r="F51" t="s">
        <v>257</v>
      </c>
      <c r="G51" t="s">
        <v>293</v>
      </c>
      <c r="H51" t="s">
        <v>79</v>
      </c>
      <c r="I51" t="s">
        <v>48</v>
      </c>
      <c r="J51" t="s">
        <v>284</v>
      </c>
      <c r="K51" t="s">
        <v>285</v>
      </c>
    </row>
    <row r="52" spans="1:11" x14ac:dyDescent="0.25">
      <c r="A52">
        <v>51</v>
      </c>
      <c r="B52">
        <v>36</v>
      </c>
      <c r="C52" t="s">
        <v>294</v>
      </c>
      <c r="D52" t="s">
        <v>237</v>
      </c>
      <c r="E52" t="s">
        <v>227</v>
      </c>
      <c r="F52" t="s">
        <v>238</v>
      </c>
      <c r="G52" t="s">
        <v>294</v>
      </c>
      <c r="H52" t="s">
        <v>79</v>
      </c>
      <c r="I52" t="s">
        <v>51</v>
      </c>
      <c r="J52" t="s">
        <v>284</v>
      </c>
      <c r="K52" t="s">
        <v>285</v>
      </c>
    </row>
    <row r="53" spans="1:11" x14ac:dyDescent="0.25">
      <c r="A53">
        <v>52</v>
      </c>
      <c r="B53">
        <v>36</v>
      </c>
      <c r="C53" t="s">
        <v>295</v>
      </c>
      <c r="D53" t="s">
        <v>237</v>
      </c>
      <c r="E53" t="s">
        <v>227</v>
      </c>
      <c r="F53" t="s">
        <v>238</v>
      </c>
      <c r="G53" t="s">
        <v>295</v>
      </c>
      <c r="H53" t="s">
        <v>79</v>
      </c>
      <c r="I53" t="s">
        <v>51</v>
      </c>
      <c r="J53" t="s">
        <v>284</v>
      </c>
      <c r="K53" t="s">
        <v>285</v>
      </c>
    </row>
    <row r="54" spans="1:11" x14ac:dyDescent="0.25">
      <c r="A54">
        <v>53</v>
      </c>
      <c r="B54">
        <v>36</v>
      </c>
      <c r="C54" t="s">
        <v>296</v>
      </c>
      <c r="D54" t="s">
        <v>237</v>
      </c>
      <c r="E54" t="s">
        <v>227</v>
      </c>
      <c r="F54" t="s">
        <v>238</v>
      </c>
      <c r="G54" t="s">
        <v>296</v>
      </c>
      <c r="H54" t="s">
        <v>79</v>
      </c>
      <c r="I54" t="s">
        <v>51</v>
      </c>
      <c r="J54" t="s">
        <v>284</v>
      </c>
      <c r="K54" t="s">
        <v>285</v>
      </c>
    </row>
    <row r="55" spans="1:11" x14ac:dyDescent="0.25">
      <c r="A55">
        <v>54</v>
      </c>
      <c r="B55">
        <v>41</v>
      </c>
      <c r="C55" t="s">
        <v>297</v>
      </c>
      <c r="D55" t="s">
        <v>261</v>
      </c>
      <c r="E55" t="s">
        <v>227</v>
      </c>
      <c r="F55" t="s">
        <v>262</v>
      </c>
      <c r="G55" t="s">
        <v>297</v>
      </c>
      <c r="H55" t="s">
        <v>79</v>
      </c>
      <c r="I55" t="s">
        <v>51</v>
      </c>
      <c r="J55" t="s">
        <v>284</v>
      </c>
      <c r="K55" t="s">
        <v>285</v>
      </c>
    </row>
    <row r="56" spans="1:11" x14ac:dyDescent="0.25">
      <c r="A56">
        <v>55</v>
      </c>
      <c r="B56">
        <v>41</v>
      </c>
      <c r="C56" t="s">
        <v>298</v>
      </c>
      <c r="D56" t="s">
        <v>261</v>
      </c>
      <c r="E56" t="s">
        <v>227</v>
      </c>
      <c r="F56" t="s">
        <v>262</v>
      </c>
      <c r="G56" t="s">
        <v>298</v>
      </c>
      <c r="H56" t="s">
        <v>79</v>
      </c>
      <c r="I56" t="s">
        <v>51</v>
      </c>
      <c r="J56" t="s">
        <v>284</v>
      </c>
      <c r="K56" t="s">
        <v>285</v>
      </c>
    </row>
    <row r="57" spans="1:11" x14ac:dyDescent="0.25">
      <c r="A57">
        <v>56</v>
      </c>
      <c r="B57">
        <v>41</v>
      </c>
      <c r="C57" t="s">
        <v>299</v>
      </c>
      <c r="D57" t="s">
        <v>261</v>
      </c>
      <c r="E57" t="s">
        <v>227</v>
      </c>
      <c r="F57" t="s">
        <v>262</v>
      </c>
      <c r="G57" t="s">
        <v>299</v>
      </c>
      <c r="H57" t="s">
        <v>79</v>
      </c>
      <c r="I57" t="s">
        <v>51</v>
      </c>
      <c r="J57" t="s">
        <v>284</v>
      </c>
      <c r="K57" t="s">
        <v>285</v>
      </c>
    </row>
    <row r="58" spans="1:11" x14ac:dyDescent="0.25">
      <c r="A58">
        <v>57</v>
      </c>
      <c r="B58">
        <v>34</v>
      </c>
      <c r="C58" t="s">
        <v>300</v>
      </c>
      <c r="D58" t="s">
        <v>226</v>
      </c>
      <c r="E58" t="s">
        <v>227</v>
      </c>
      <c r="F58" t="s">
        <v>228</v>
      </c>
      <c r="G58" t="s">
        <v>300</v>
      </c>
      <c r="H58" t="s">
        <v>79</v>
      </c>
      <c r="I58" t="s">
        <v>48</v>
      </c>
      <c r="J58" t="s">
        <v>284</v>
      </c>
      <c r="K58" t="s">
        <v>285</v>
      </c>
    </row>
    <row r="59" spans="1:11" x14ac:dyDescent="0.25">
      <c r="A59">
        <v>58</v>
      </c>
      <c r="B59">
        <v>34</v>
      </c>
      <c r="C59" t="s">
        <v>301</v>
      </c>
      <c r="D59" t="s">
        <v>226</v>
      </c>
      <c r="E59" t="s">
        <v>227</v>
      </c>
      <c r="F59" t="s">
        <v>228</v>
      </c>
      <c r="G59" t="s">
        <v>301</v>
      </c>
      <c r="H59" t="s">
        <v>79</v>
      </c>
      <c r="I59" t="s">
        <v>48</v>
      </c>
      <c r="J59" t="s">
        <v>284</v>
      </c>
      <c r="K59" t="s">
        <v>285</v>
      </c>
    </row>
    <row r="60" spans="1:11" x14ac:dyDescent="0.25">
      <c r="A60">
        <v>59</v>
      </c>
      <c r="B60">
        <v>35</v>
      </c>
      <c r="C60" t="s">
        <v>302</v>
      </c>
      <c r="D60" t="s">
        <v>232</v>
      </c>
      <c r="E60" t="s">
        <v>227</v>
      </c>
      <c r="F60" t="s">
        <v>233</v>
      </c>
      <c r="G60" t="s">
        <v>302</v>
      </c>
      <c r="H60" t="s">
        <v>79</v>
      </c>
      <c r="I60" t="s">
        <v>48</v>
      </c>
      <c r="J60" t="s">
        <v>284</v>
      </c>
      <c r="K60" t="s">
        <v>285</v>
      </c>
    </row>
    <row r="61" spans="1:11" x14ac:dyDescent="0.25">
      <c r="A61">
        <v>60</v>
      </c>
      <c r="B61">
        <v>35</v>
      </c>
      <c r="C61" t="s">
        <v>303</v>
      </c>
      <c r="D61" t="s">
        <v>232</v>
      </c>
      <c r="E61" t="s">
        <v>227</v>
      </c>
      <c r="F61" t="s">
        <v>233</v>
      </c>
      <c r="G61" t="s">
        <v>303</v>
      </c>
      <c r="H61" t="s">
        <v>79</v>
      </c>
      <c r="I61" t="s">
        <v>48</v>
      </c>
      <c r="J61" t="s">
        <v>284</v>
      </c>
      <c r="K61" t="s">
        <v>285</v>
      </c>
    </row>
    <row r="62" spans="1:11" x14ac:dyDescent="0.25">
      <c r="A62">
        <v>61</v>
      </c>
      <c r="B62">
        <v>33</v>
      </c>
      <c r="C62" t="s">
        <v>304</v>
      </c>
      <c r="D62" t="s">
        <v>220</v>
      </c>
      <c r="E62" t="s">
        <v>221</v>
      </c>
      <c r="F62" t="s">
        <v>222</v>
      </c>
      <c r="G62" t="s">
        <v>304</v>
      </c>
      <c r="H62" t="s">
        <v>76</v>
      </c>
      <c r="I62" t="s">
        <v>48</v>
      </c>
      <c r="J62" t="s">
        <v>284</v>
      </c>
      <c r="K62" t="s">
        <v>285</v>
      </c>
    </row>
    <row r="63" spans="1:11" x14ac:dyDescent="0.25">
      <c r="A63">
        <v>62</v>
      </c>
      <c r="B63">
        <v>38</v>
      </c>
      <c r="C63" t="s">
        <v>305</v>
      </c>
      <c r="D63" t="s">
        <v>246</v>
      </c>
      <c r="E63" t="s">
        <v>227</v>
      </c>
      <c r="F63" t="s">
        <v>247</v>
      </c>
      <c r="G63" t="s">
        <v>305</v>
      </c>
      <c r="H63" t="s">
        <v>79</v>
      </c>
      <c r="I63" t="s">
        <v>48</v>
      </c>
      <c r="J63" t="s">
        <v>284</v>
      </c>
      <c r="K63" t="s">
        <v>285</v>
      </c>
    </row>
    <row r="64" spans="1:11" x14ac:dyDescent="0.25">
      <c r="A64">
        <v>63</v>
      </c>
      <c r="B64">
        <v>38</v>
      </c>
      <c r="C64" t="s">
        <v>306</v>
      </c>
      <c r="D64" t="s">
        <v>246</v>
      </c>
      <c r="E64" t="s">
        <v>227</v>
      </c>
      <c r="F64" t="s">
        <v>247</v>
      </c>
      <c r="G64" t="s">
        <v>306</v>
      </c>
      <c r="H64" t="s">
        <v>79</v>
      </c>
      <c r="I64" t="s">
        <v>48</v>
      </c>
      <c r="J64" t="s">
        <v>284</v>
      </c>
      <c r="K64" t="s">
        <v>285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7"/>
  <sheetViews>
    <sheetView workbookViewId="0">
      <selection activeCell="F31" sqref="F31"/>
    </sheetView>
  </sheetViews>
  <sheetFormatPr defaultRowHeight="15" x14ac:dyDescent="0.25"/>
  <cols>
    <col min="1" max="1" width="11.42578125" bestFit="1" customWidth="1"/>
    <col min="2" max="2" width="31.85546875" bestFit="1" customWidth="1"/>
    <col min="3" max="3" width="19.5703125" bestFit="1" customWidth="1"/>
  </cols>
  <sheetData>
    <row r="1" spans="1:3" x14ac:dyDescent="0.25">
      <c r="A1" t="s">
        <v>33</v>
      </c>
      <c r="B1" t="s">
        <v>34</v>
      </c>
      <c r="C1" t="s">
        <v>308</v>
      </c>
    </row>
    <row r="2" spans="1:3" x14ac:dyDescent="0.25">
      <c r="A2" t="s">
        <v>36</v>
      </c>
      <c r="B2" t="s">
        <v>37</v>
      </c>
      <c r="C2">
        <f>COUNTIF(All_Events_63!$I:$I,"S1")</f>
        <v>3</v>
      </c>
    </row>
    <row r="3" spans="1:3" x14ac:dyDescent="0.25">
      <c r="A3" t="s">
        <v>39</v>
      </c>
      <c r="B3" t="s">
        <v>40</v>
      </c>
      <c r="C3">
        <f>COUNTIF(All_Events_63!$I:$I,"S2")</f>
        <v>2</v>
      </c>
    </row>
    <row r="4" spans="1:3" x14ac:dyDescent="0.25">
      <c r="A4" t="s">
        <v>42</v>
      </c>
      <c r="B4" t="s">
        <v>43</v>
      </c>
      <c r="C4">
        <f>COUNTIF(All_Events_63!$I:$I,"S3")</f>
        <v>11</v>
      </c>
    </row>
    <row r="5" spans="1:3" x14ac:dyDescent="0.25">
      <c r="A5" t="s">
        <v>45</v>
      </c>
      <c r="B5" t="s">
        <v>46</v>
      </c>
      <c r="C5">
        <f>COUNTIF(All_Events_63!$I:$I,"S4")</f>
        <v>1</v>
      </c>
    </row>
    <row r="6" spans="1:3" x14ac:dyDescent="0.25">
      <c r="A6" t="s">
        <v>48</v>
      </c>
      <c r="B6" t="s">
        <v>49</v>
      </c>
      <c r="C6">
        <f>COUNTIF(All_Events_63!$I:$I,"S5")</f>
        <v>38</v>
      </c>
    </row>
    <row r="7" spans="1:3" x14ac:dyDescent="0.25">
      <c r="A7" t="s">
        <v>51</v>
      </c>
      <c r="B7" t="s">
        <v>52</v>
      </c>
      <c r="C7">
        <f>COUNTIF(All_Events_63!$I:$I,"S6")</f>
        <v>8</v>
      </c>
    </row>
  </sheetData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0"/>
  <sheetViews>
    <sheetView tabSelected="1" workbookViewId="0">
      <selection activeCell="K20" sqref="K20"/>
    </sheetView>
  </sheetViews>
  <sheetFormatPr defaultRowHeight="15" x14ac:dyDescent="0.25"/>
  <cols>
    <col min="1" max="1" width="12.28515625" customWidth="1"/>
    <col min="2" max="2" width="12.7109375" bestFit="1" customWidth="1"/>
    <col min="3" max="3" width="14.28515625" customWidth="1"/>
    <col min="4" max="4" width="13.140625" customWidth="1"/>
    <col min="5" max="5" width="13.42578125" customWidth="1"/>
    <col min="6" max="6" width="13.85546875" customWidth="1"/>
    <col min="7" max="7" width="14" customWidth="1"/>
    <col min="8" max="8" width="14.28515625" customWidth="1"/>
    <col min="9" max="9" width="14.5703125" customWidth="1"/>
    <col min="10" max="10" width="15.28515625" customWidth="1"/>
    <col min="11" max="11" width="16.140625" customWidth="1"/>
  </cols>
  <sheetData>
    <row r="1" spans="1:11" s="2" customFormat="1" ht="60" x14ac:dyDescent="0.25">
      <c r="A1" s="2" t="s">
        <v>54</v>
      </c>
      <c r="B1" s="2" t="s">
        <v>4</v>
      </c>
      <c r="C1" s="2" t="s">
        <v>7</v>
      </c>
      <c r="D1" s="2" t="s">
        <v>10</v>
      </c>
      <c r="E1" s="2" t="s">
        <v>13</v>
      </c>
      <c r="F1" s="2" t="s">
        <v>16</v>
      </c>
      <c r="G1" s="2" t="s">
        <v>19</v>
      </c>
      <c r="H1" s="2" t="s">
        <v>22</v>
      </c>
      <c r="I1" s="2" t="s">
        <v>25</v>
      </c>
      <c r="J1" s="2" t="s">
        <v>28</v>
      </c>
      <c r="K1" s="2" t="s">
        <v>31</v>
      </c>
    </row>
    <row r="2" spans="1:11" x14ac:dyDescent="0.25">
      <c r="A2" t="s">
        <v>56</v>
      </c>
      <c r="B2">
        <f>COUNTIFS(All_Events_63!$H:$H,"Childhood",All_Events_63!$J:$J,"*ENT*")</f>
        <v>3</v>
      </c>
      <c r="C2">
        <f>COUNTIFS(All_Events_63!$H:$H,"Childhood",All_Events_63!$J:$J,"*CNS*")</f>
        <v>3</v>
      </c>
      <c r="D2">
        <f>COUNTIFS(All_Events_63!$H:$H,"Childhood",All_Events_63!$J:$J,"*DIS*")</f>
        <v>0</v>
      </c>
      <c r="E2">
        <f>COUNTIFS(All_Events_63!$H:$H,"Childhood",All_Events_63!$J:$J,"*GEO*")</f>
        <v>0</v>
      </c>
      <c r="F2">
        <f>COUNTIFS(All_Events_63!$H:$H,"Childhood",All_Events_63!$J:$J,"*STK*")</f>
        <v>0</v>
      </c>
      <c r="G2">
        <f>COUNTIFS(All_Events_63!$H:$H,"Childhood",All_Events_63!$J:$J,"*TMP*")</f>
        <v>0</v>
      </c>
      <c r="H2">
        <f>COUNTIFS(All_Events_63!$H:$H,"Childhood",All_Events_63!$J:$J,"*SOM*")</f>
        <v>0</v>
      </c>
      <c r="I2">
        <f>COUNTIFS(All_Events_63!$H:$H,"Childhood",All_Events_63!$J:$J,"*SYM*")</f>
        <v>0</v>
      </c>
      <c r="J2">
        <f>COUNTIFS(All_Events_63!$H:$H,"Childhood",All_Events_63!$J:$J,"*ENV*")</f>
        <v>0</v>
      </c>
      <c r="K2">
        <f>COUNTIFS(All_Events_63!$H:$H,"Childhood",All_Events_63!$J:$J,"*ORI*")</f>
        <v>0</v>
      </c>
    </row>
    <row r="3" spans="1:11" x14ac:dyDescent="0.25">
      <c r="A3" t="s">
        <v>59</v>
      </c>
      <c r="B3">
        <f>COUNTIFS(All_Events_63!$H:$H,"Teens",All_Events_63!$J:$J,"*ENT*")</f>
        <v>1</v>
      </c>
      <c r="C3">
        <f>COUNTIFS(All_Events_63!$H:$H,"Teens",All_Events_63!$J:$J,"*CNS*")</f>
        <v>1</v>
      </c>
      <c r="D3">
        <f>COUNTIFS(All_Events_63!$H:$H,"Teens",All_Events_63!$J:$J,"*DIS*")</f>
        <v>1</v>
      </c>
      <c r="E3">
        <f>COUNTIFS(All_Events_63!$H:$H,"Teens",All_Events_63!$J:$J,"*GEO*")</f>
        <v>0</v>
      </c>
      <c r="F3">
        <f>COUNTIFS(All_Events_63!$H:$H,"Teens",All_Events_63!$J:$J,"*STK*")</f>
        <v>0</v>
      </c>
      <c r="G3">
        <f>COUNTIFS(All_Events_63!$H:$H,"Teens",All_Events_63!$J:$J,"*TMP*")</f>
        <v>0</v>
      </c>
      <c r="H3">
        <f>COUNTIFS(All_Events_63!$H:$H,"Teens",All_Events_63!$J:$J,"*SOM*")</f>
        <v>0</v>
      </c>
      <c r="I3">
        <f>COUNTIFS(All_Events_63!$H:$H,"Teens",All_Events_63!$J:$J,"*SYM*")</f>
        <v>0</v>
      </c>
      <c r="J3">
        <f>COUNTIFS(All_Events_63!$H:$H,"Teens",All_Events_63!$J:$J,"*ENV*")</f>
        <v>2</v>
      </c>
      <c r="K3">
        <f>COUNTIFS(All_Events_63!$H:$H,"Teens",All_Events_63!$J:$J,"*ORI*")</f>
        <v>0</v>
      </c>
    </row>
    <row r="4" spans="1:11" x14ac:dyDescent="0.25">
      <c r="A4" t="s">
        <v>62</v>
      </c>
      <c r="B4">
        <f>COUNTIFS(All_Events_63!$H:$H,"20s",All_Events_63!$J:$J,"*ENT*")</f>
        <v>0</v>
      </c>
      <c r="C4">
        <f>COUNTIFS(All_Events_63!$H:$H,"20s",All_Events_63!$J:$J,"*CNS*")</f>
        <v>3</v>
      </c>
      <c r="D4">
        <f>COUNTIFS(All_Events_63!$H:$H,"20s",All_Events_63!$J:$J,"*DIS*")</f>
        <v>3</v>
      </c>
      <c r="E4">
        <f>COUNTIFS(All_Events_63!$H:$H,"20s",All_Events_63!$J:$J,"*GEO*")</f>
        <v>0</v>
      </c>
      <c r="F4">
        <f>COUNTIFS(All_Events_63!$H:$H,"20s",All_Events_63!$J:$J,"*STK*")</f>
        <v>0</v>
      </c>
      <c r="G4">
        <f>COUNTIFS(All_Events_63!$H:$H,"20s",All_Events_63!$J:$J,"*TMP*")</f>
        <v>1</v>
      </c>
      <c r="H4">
        <f>COUNTIFS(All_Events_63!$H:$H,"20s",All_Events_63!$J:$J,"*SOM*")</f>
        <v>0</v>
      </c>
      <c r="I4">
        <f>COUNTIFS(All_Events_63!$H:$H,"20s",All_Events_63!$J:$J,"*SYM*")</f>
        <v>0</v>
      </c>
      <c r="J4">
        <f>COUNTIFS(All_Events_63!$H:$H,"20s",All_Events_63!$J:$J,"*ENV*")</f>
        <v>1</v>
      </c>
      <c r="K4">
        <f>COUNTIFS(All_Events_63!$H:$H,"20s",All_Events_63!$J:$J,"*ORI*")</f>
        <v>0</v>
      </c>
    </row>
    <row r="5" spans="1:11" x14ac:dyDescent="0.25">
      <c r="A5" t="s">
        <v>65</v>
      </c>
      <c r="B5">
        <f>COUNTIFS(All_Events_63!$H:$H,"30s",All_Events_63!$J:$J,"*ENT*")</f>
        <v>6</v>
      </c>
      <c r="C5">
        <f>COUNTIFS(All_Events_63!$H:$H,"30s",All_Events_63!$J:$J,"*CNS*")</f>
        <v>6</v>
      </c>
      <c r="D5">
        <f>COUNTIFS(All_Events_63!$H:$H,"30s",All_Events_63!$J:$J,"*DIS*")</f>
        <v>1</v>
      </c>
      <c r="E5">
        <f>COUNTIFS(All_Events_63!$H:$H,"30s",All_Events_63!$J:$J,"*GEO*")</f>
        <v>0</v>
      </c>
      <c r="F5">
        <f>COUNTIFS(All_Events_63!$H:$H,"30s",All_Events_63!$J:$J,"*STK*")</f>
        <v>0</v>
      </c>
      <c r="G5">
        <f>COUNTIFS(All_Events_63!$H:$H,"30s",All_Events_63!$J:$J,"*TMP*")</f>
        <v>0</v>
      </c>
      <c r="H5">
        <f>COUNTIFS(All_Events_63!$H:$H,"30s",All_Events_63!$J:$J,"*SOM*")</f>
        <v>1</v>
      </c>
      <c r="I5">
        <f>COUNTIFS(All_Events_63!$H:$H,"30s",All_Events_63!$J:$J,"*SYM*")</f>
        <v>3</v>
      </c>
      <c r="J5">
        <f>COUNTIFS(All_Events_63!$H:$H,"30s",All_Events_63!$J:$J,"*ENV*")</f>
        <v>2</v>
      </c>
      <c r="K5">
        <f>COUNTIFS(All_Events_63!$H:$H,"30s",All_Events_63!$J:$J,"*ORI*")</f>
        <v>0</v>
      </c>
    </row>
    <row r="6" spans="1:11" x14ac:dyDescent="0.25">
      <c r="A6" t="s">
        <v>68</v>
      </c>
      <c r="B6">
        <f>COUNTIFS(All_Events_63!$H:$H,"40s",All_Events_63!$J:$J,"*ENT*")</f>
        <v>1</v>
      </c>
      <c r="C6">
        <f>COUNTIFS(All_Events_63!$H:$H,"40s",All_Events_63!$J:$J,"*CNS*")</f>
        <v>1</v>
      </c>
      <c r="D6">
        <f>COUNTIFS(All_Events_63!$H:$H,"40s",All_Events_63!$J:$J,"*DIS*")</f>
        <v>0</v>
      </c>
      <c r="E6">
        <f>COUNTIFS(All_Events_63!$H:$H,"40s",All_Events_63!$J:$J,"*GEO*")</f>
        <v>0</v>
      </c>
      <c r="F6">
        <f>COUNTIFS(All_Events_63!$H:$H,"40s",All_Events_63!$J:$J,"*STK*")</f>
        <v>0</v>
      </c>
      <c r="G6">
        <f>COUNTIFS(All_Events_63!$H:$H,"40s",All_Events_63!$J:$J,"*TMP*")</f>
        <v>0</v>
      </c>
      <c r="H6">
        <f>COUNTIFS(All_Events_63!$H:$H,"40s",All_Events_63!$J:$J,"*SOM*")</f>
        <v>0</v>
      </c>
      <c r="I6">
        <f>COUNTIFS(All_Events_63!$H:$H,"40s",All_Events_63!$J:$J,"*SYM*")</f>
        <v>1</v>
      </c>
      <c r="J6">
        <f>COUNTIFS(All_Events_63!$H:$H,"40s",All_Events_63!$J:$J,"*ENV*")</f>
        <v>0</v>
      </c>
      <c r="K6">
        <f>COUNTIFS(All_Events_63!$H:$H,"40s",All_Events_63!$J:$J,"*ORI*")</f>
        <v>0</v>
      </c>
    </row>
    <row r="7" spans="1:11" x14ac:dyDescent="0.25">
      <c r="A7" t="s">
        <v>71</v>
      </c>
      <c r="B7">
        <f>COUNTIFS(All_Events_63!$H:$H,"2019–2022",All_Events_63!$J:$J,"*ENT*")</f>
        <v>7</v>
      </c>
      <c r="C7">
        <f>COUNTIFS(All_Events_63!$H:$H,"2019–2022",All_Events_63!$J:$J,"*CNS*")</f>
        <v>8</v>
      </c>
      <c r="D7">
        <f>COUNTIFS(All_Events_63!$H:$H,"2019–2022",All_Events_63!$J:$J,"*DIS*")</f>
        <v>3</v>
      </c>
      <c r="E7">
        <f>COUNTIFS(All_Events_63!$H:$H,"2019–2022",All_Events_63!$J:$J,"*GEO*")</f>
        <v>3</v>
      </c>
      <c r="F7">
        <f>COUNTIFS(All_Events_63!$H:$H,"2019–2022",All_Events_63!$J:$J,"*STK*")</f>
        <v>0</v>
      </c>
      <c r="G7">
        <f>COUNTIFS(All_Events_63!$H:$H,"2019–2022",All_Events_63!$J:$J,"*TMP*")</f>
        <v>2</v>
      </c>
      <c r="H7">
        <f>COUNTIFS(All_Events_63!$H:$H,"2019–2022",All_Events_63!$J:$J,"*SOM*")</f>
        <v>2</v>
      </c>
      <c r="I7">
        <f>COUNTIFS(All_Events_63!$H:$H,"2019–2022",All_Events_63!$J:$J,"*SYM*")</f>
        <v>0</v>
      </c>
      <c r="J7">
        <f>COUNTIFS(All_Events_63!$H:$H,"2019–2022",All_Events_63!$J:$J,"*ENV*")</f>
        <v>10</v>
      </c>
      <c r="K7">
        <f>COUNTIFS(All_Events_63!$H:$H,"2019–2022",All_Events_63!$J:$J,"*ORI*")</f>
        <v>0</v>
      </c>
    </row>
    <row r="8" spans="1:11" x14ac:dyDescent="0.25">
      <c r="A8" t="s">
        <v>74</v>
      </c>
      <c r="B8">
        <f>COUNTIFS(All_Events_63!$H:$H,"2023",All_Events_63!$J:$J,"*ENT*")</f>
        <v>1</v>
      </c>
      <c r="C8">
        <f>COUNTIFS(All_Events_63!$H:$H,"2023",All_Events_63!$J:$J,"*CNS*")</f>
        <v>1</v>
      </c>
      <c r="D8">
        <f>COUNTIFS(All_Events_63!$H:$H,"2023",All_Events_63!$J:$J,"*DIS*")</f>
        <v>0</v>
      </c>
      <c r="E8">
        <f>COUNTIFS(All_Events_63!$H:$H,"2023",All_Events_63!$J:$J,"*GEO*")</f>
        <v>0</v>
      </c>
      <c r="F8">
        <f>COUNTIFS(All_Events_63!$H:$H,"2023",All_Events_63!$J:$J,"*STK*")</f>
        <v>0</v>
      </c>
      <c r="G8">
        <f>COUNTIFS(All_Events_63!$H:$H,"2023",All_Events_63!$J:$J,"*TMP*")</f>
        <v>0</v>
      </c>
      <c r="H8">
        <f>COUNTIFS(All_Events_63!$H:$H,"2023",All_Events_63!$J:$J,"*SOM*")</f>
        <v>0</v>
      </c>
      <c r="I8">
        <f>COUNTIFS(All_Events_63!$H:$H,"2023",All_Events_63!$J:$J,"*SYM*")</f>
        <v>0</v>
      </c>
      <c r="J8">
        <f>COUNTIFS(All_Events_63!$H:$H,"2023",All_Events_63!$J:$J,"*ENV*")</f>
        <v>1</v>
      </c>
      <c r="K8">
        <f>COUNTIFS(All_Events_63!$H:$H,"2023",All_Events_63!$J:$J,"*ORI*")</f>
        <v>0</v>
      </c>
    </row>
    <row r="9" spans="1:11" x14ac:dyDescent="0.25">
      <c r="A9" t="s">
        <v>76</v>
      </c>
      <c r="B9">
        <f>COUNTIFS(All_Events_63!$H:$H,"2024",All_Events_63!$J:$J,"*ENT*")</f>
        <v>1</v>
      </c>
      <c r="C9">
        <f>COUNTIFS(All_Events_63!$H:$H,"2024",All_Events_63!$J:$J,"*CNS*")</f>
        <v>2</v>
      </c>
      <c r="D9">
        <f>COUNTIFS(All_Events_63!$H:$H,"2024",All_Events_63!$J:$J,"*DIS*")</f>
        <v>2</v>
      </c>
      <c r="E9">
        <f>COUNTIFS(All_Events_63!$H:$H,"2024",All_Events_63!$J:$J,"*GEO*")</f>
        <v>0</v>
      </c>
      <c r="F9">
        <f>COUNTIFS(All_Events_63!$H:$H,"2024",All_Events_63!$J:$J,"*STK*")</f>
        <v>0</v>
      </c>
      <c r="G9">
        <f>COUNTIFS(All_Events_63!$H:$H,"2024",All_Events_63!$J:$J,"*TMP*")</f>
        <v>1</v>
      </c>
      <c r="H9">
        <f>COUNTIFS(All_Events_63!$H:$H,"2024",All_Events_63!$J:$J,"*SOM*")</f>
        <v>0</v>
      </c>
      <c r="I9">
        <f>COUNTIFS(All_Events_63!$H:$H,"2024",All_Events_63!$J:$J,"*SYM*")</f>
        <v>2</v>
      </c>
      <c r="J9">
        <f>COUNTIFS(All_Events_63!$H:$H,"2024",All_Events_63!$J:$J,"*ENV*")</f>
        <v>2</v>
      </c>
      <c r="K9">
        <f>COUNTIFS(All_Events_63!$H:$H,"2024",All_Events_63!$J:$J,"*ORI*")</f>
        <v>0</v>
      </c>
    </row>
    <row r="10" spans="1:11" x14ac:dyDescent="0.25">
      <c r="A10" t="s">
        <v>79</v>
      </c>
      <c r="B10">
        <f>COUNTIFS(All_Events_63!$H:$H,"2025",All_Events_63!$J:$J,"*ENT*")</f>
        <v>4</v>
      </c>
      <c r="C10">
        <f>COUNTIFS(All_Events_63!$H:$H,"2025",All_Events_63!$J:$J,"*CNS*")</f>
        <v>26</v>
      </c>
      <c r="D10">
        <f>COUNTIFS(All_Events_63!$H:$H,"2025",All_Events_63!$J:$J,"*DIS*")</f>
        <v>25</v>
      </c>
      <c r="E10">
        <f>COUNTIFS(All_Events_63!$H:$H,"2025",All_Events_63!$J:$J,"*GEO*")</f>
        <v>4</v>
      </c>
      <c r="F10">
        <f>COUNTIFS(All_Events_63!$H:$H,"2025",All_Events_63!$J:$J,"*STK*")</f>
        <v>2</v>
      </c>
      <c r="G10">
        <f>COUNTIFS(All_Events_63!$H:$H,"2025",All_Events_63!$J:$J,"*TMP*")</f>
        <v>6</v>
      </c>
      <c r="H10">
        <f>COUNTIFS(All_Events_63!$H:$H,"2025",All_Events_63!$J:$J,"*SOM*")</f>
        <v>0</v>
      </c>
      <c r="I10">
        <f>COUNTIFS(All_Events_63!$H:$H,"2025",All_Events_63!$J:$J,"*SYM*")</f>
        <v>24</v>
      </c>
      <c r="J10">
        <f>COUNTIFS(All_Events_63!$H:$H,"2025",All_Events_63!$J:$J,"*ENV*")</f>
        <v>29</v>
      </c>
      <c r="K10">
        <f>COUNTIFS(All_Events_63!$H:$H,"2025",All_Events_63!$J:$J,"*ORI*")</f>
        <v>0</v>
      </c>
    </row>
  </sheetData>
  <conditionalFormatting sqref="B2:K10">
    <cfRule type="colorScale" priority="3">
      <colorScale>
        <cfvo type="min"/>
        <cfvo type="percentile" val="50"/>
        <cfvo type="max"/>
        <color rgb="FFFFFFFF"/>
        <color rgb="FFCCFFCC"/>
        <color rgb="FF006600"/>
      </colorScale>
    </cfRule>
  </conditionalFormatting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workbookViewId="0">
      <selection activeCell="R37" sqref="R37"/>
    </sheetView>
  </sheetViews>
  <sheetFormatPr defaultRowHeight="15" x14ac:dyDescent="0.25"/>
  <cols>
    <col min="2" max="2" width="35.7109375" bestFit="1" customWidth="1"/>
  </cols>
  <sheetData>
    <row r="1" spans="1:3" x14ac:dyDescent="0.25">
      <c r="A1" t="s">
        <v>0</v>
      </c>
      <c r="B1" t="s">
        <v>1</v>
      </c>
      <c r="C1" t="s">
        <v>309</v>
      </c>
    </row>
    <row r="2" spans="1:3" x14ac:dyDescent="0.25">
      <c r="A2" t="s">
        <v>3</v>
      </c>
      <c r="B2" t="s">
        <v>4</v>
      </c>
      <c r="C2">
        <f>COUNTIF(All_Events_63!$J:$J,"*ENT*")</f>
        <v>24</v>
      </c>
    </row>
    <row r="3" spans="1:3" x14ac:dyDescent="0.25">
      <c r="A3" t="s">
        <v>6</v>
      </c>
      <c r="B3" t="s">
        <v>7</v>
      </c>
      <c r="C3">
        <f>COUNTIF(All_Events_63!$J:$J,"*CNS*")</f>
        <v>51</v>
      </c>
    </row>
    <row r="4" spans="1:3" x14ac:dyDescent="0.25">
      <c r="A4" t="s">
        <v>9</v>
      </c>
      <c r="B4" t="s">
        <v>10</v>
      </c>
      <c r="C4">
        <f>COUNTIF(All_Events_63!$J:$J,"*DIS*")</f>
        <v>35</v>
      </c>
    </row>
    <row r="5" spans="1:3" x14ac:dyDescent="0.25">
      <c r="A5" t="s">
        <v>12</v>
      </c>
      <c r="B5" t="s">
        <v>13</v>
      </c>
      <c r="C5">
        <f>COUNTIF(All_Events_63!$J:$J,"*GEO*")</f>
        <v>7</v>
      </c>
    </row>
    <row r="6" spans="1:3" x14ac:dyDescent="0.25">
      <c r="A6" t="s">
        <v>15</v>
      </c>
      <c r="B6" t="s">
        <v>16</v>
      </c>
      <c r="C6">
        <f>COUNTIF(All_Events_63!$J:$J,"*STK*")</f>
        <v>2</v>
      </c>
    </row>
    <row r="7" spans="1:3" x14ac:dyDescent="0.25">
      <c r="A7" t="s">
        <v>18</v>
      </c>
      <c r="B7" t="s">
        <v>19</v>
      </c>
      <c r="C7">
        <f>COUNTIF(All_Events_63!$J:$J,"*TMP*")</f>
        <v>10</v>
      </c>
    </row>
    <row r="8" spans="1:3" x14ac:dyDescent="0.25">
      <c r="A8" t="s">
        <v>21</v>
      </c>
      <c r="B8" t="s">
        <v>22</v>
      </c>
      <c r="C8">
        <f>COUNTIF(All_Events_63!$J:$J,"*SOM*")</f>
        <v>3</v>
      </c>
    </row>
    <row r="9" spans="1:3" x14ac:dyDescent="0.25">
      <c r="A9" t="s">
        <v>24</v>
      </c>
      <c r="B9" t="s">
        <v>25</v>
      </c>
      <c r="C9">
        <f>COUNTIF(All_Events_63!$J:$J,"*SYM*")</f>
        <v>30</v>
      </c>
    </row>
    <row r="10" spans="1:3" x14ac:dyDescent="0.25">
      <c r="A10" t="s">
        <v>27</v>
      </c>
      <c r="B10" t="s">
        <v>28</v>
      </c>
      <c r="C10">
        <f>COUNTIF(All_Events_63!$J:$J,"*ENV*")</f>
        <v>47</v>
      </c>
    </row>
    <row r="11" spans="1:3" x14ac:dyDescent="0.25">
      <c r="A11" t="s">
        <v>30</v>
      </c>
      <c r="B11" t="s">
        <v>31</v>
      </c>
      <c r="C11">
        <f>COUNTIF(All_Events_63!$J:$J,"*ORI*")</f>
        <v>0</v>
      </c>
    </row>
  </sheetData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2"/>
  <sheetViews>
    <sheetView workbookViewId="0">
      <selection activeCell="G26" sqref="G26"/>
    </sheetView>
  </sheetViews>
  <sheetFormatPr defaultRowHeight="15" x14ac:dyDescent="0.25"/>
  <cols>
    <col min="1" max="1" width="21" bestFit="1" customWidth="1"/>
    <col min="2" max="2" width="25.7109375" bestFit="1" customWidth="1"/>
    <col min="3" max="3" width="15.85546875" bestFit="1" customWidth="1"/>
  </cols>
  <sheetData>
    <row r="1" spans="1:3" x14ac:dyDescent="0.25">
      <c r="A1" t="s">
        <v>310</v>
      </c>
      <c r="B1" t="s">
        <v>83</v>
      </c>
      <c r="C1" t="s">
        <v>311</v>
      </c>
    </row>
    <row r="2" spans="1:3" x14ac:dyDescent="0.25">
      <c r="A2">
        <v>1</v>
      </c>
      <c r="B2" t="s">
        <v>89</v>
      </c>
      <c r="C2">
        <v>0</v>
      </c>
    </row>
    <row r="3" spans="1:3" x14ac:dyDescent="0.25">
      <c r="A3">
        <v>2</v>
      </c>
      <c r="B3" t="s">
        <v>95</v>
      </c>
      <c r="C3">
        <v>0</v>
      </c>
    </row>
    <row r="4" spans="1:3" x14ac:dyDescent="0.25">
      <c r="A4">
        <v>3</v>
      </c>
      <c r="B4" t="s">
        <v>100</v>
      </c>
      <c r="C4">
        <v>0</v>
      </c>
    </row>
    <row r="5" spans="1:3" x14ac:dyDescent="0.25">
      <c r="A5">
        <v>4</v>
      </c>
      <c r="B5" t="s">
        <v>102</v>
      </c>
      <c r="C5">
        <v>0</v>
      </c>
    </row>
    <row r="6" spans="1:3" x14ac:dyDescent="0.25">
      <c r="A6">
        <v>5</v>
      </c>
      <c r="B6" t="s">
        <v>107</v>
      </c>
      <c r="C6">
        <v>0</v>
      </c>
    </row>
    <row r="7" spans="1:3" x14ac:dyDescent="0.25">
      <c r="A7">
        <v>6</v>
      </c>
      <c r="B7" t="s">
        <v>110</v>
      </c>
      <c r="C7">
        <v>0</v>
      </c>
    </row>
    <row r="8" spans="1:3" x14ac:dyDescent="0.25">
      <c r="A8">
        <v>7</v>
      </c>
      <c r="B8" t="s">
        <v>116</v>
      </c>
      <c r="C8">
        <v>0</v>
      </c>
    </row>
    <row r="9" spans="1:3" x14ac:dyDescent="0.25">
      <c r="A9">
        <v>8</v>
      </c>
      <c r="B9" t="s">
        <v>122</v>
      </c>
      <c r="C9">
        <v>0</v>
      </c>
    </row>
    <row r="10" spans="1:3" x14ac:dyDescent="0.25">
      <c r="A10">
        <v>9</v>
      </c>
      <c r="B10" t="s">
        <v>126</v>
      </c>
      <c r="C10">
        <v>0</v>
      </c>
    </row>
    <row r="11" spans="1:3" x14ac:dyDescent="0.25">
      <c r="A11">
        <v>10</v>
      </c>
      <c r="B11" t="s">
        <v>131</v>
      </c>
      <c r="C11">
        <v>0</v>
      </c>
    </row>
    <row r="12" spans="1:3" x14ac:dyDescent="0.25">
      <c r="A12">
        <v>11</v>
      </c>
      <c r="B12" t="s">
        <v>134</v>
      </c>
      <c r="C12">
        <v>0</v>
      </c>
    </row>
    <row r="13" spans="1:3" x14ac:dyDescent="0.25">
      <c r="A13">
        <v>12</v>
      </c>
      <c r="B13" t="s">
        <v>140</v>
      </c>
      <c r="C13">
        <v>0</v>
      </c>
    </row>
    <row r="14" spans="1:3" x14ac:dyDescent="0.25">
      <c r="A14">
        <v>13</v>
      </c>
      <c r="B14" t="s">
        <v>145</v>
      </c>
      <c r="C14">
        <v>0</v>
      </c>
    </row>
    <row r="15" spans="1:3" x14ac:dyDescent="0.25">
      <c r="A15">
        <v>14</v>
      </c>
      <c r="B15" t="s">
        <v>151</v>
      </c>
      <c r="C15">
        <v>0</v>
      </c>
    </row>
    <row r="16" spans="1:3" x14ac:dyDescent="0.25">
      <c r="A16">
        <v>15</v>
      </c>
      <c r="B16" t="s">
        <v>154</v>
      </c>
      <c r="C16">
        <v>0</v>
      </c>
    </row>
    <row r="17" spans="1:3" x14ac:dyDescent="0.25">
      <c r="A17">
        <v>16</v>
      </c>
      <c r="B17" t="s">
        <v>158</v>
      </c>
      <c r="C17">
        <v>0</v>
      </c>
    </row>
    <row r="18" spans="1:3" x14ac:dyDescent="0.25">
      <c r="A18">
        <v>17</v>
      </c>
      <c r="B18" t="s">
        <v>162</v>
      </c>
      <c r="C18">
        <v>0</v>
      </c>
    </row>
    <row r="19" spans="1:3" x14ac:dyDescent="0.25">
      <c r="A19">
        <v>18</v>
      </c>
      <c r="B19" t="s">
        <v>168</v>
      </c>
      <c r="C19">
        <v>0</v>
      </c>
    </row>
    <row r="20" spans="1:3" x14ac:dyDescent="0.25">
      <c r="A20">
        <v>19</v>
      </c>
      <c r="B20" t="s">
        <v>171</v>
      </c>
      <c r="C20">
        <v>0</v>
      </c>
    </row>
    <row r="21" spans="1:3" x14ac:dyDescent="0.25">
      <c r="A21">
        <v>20</v>
      </c>
      <c r="B21" t="s">
        <v>175</v>
      </c>
      <c r="C21">
        <v>0</v>
      </c>
    </row>
    <row r="22" spans="1:3" x14ac:dyDescent="0.25">
      <c r="A22">
        <v>21</v>
      </c>
      <c r="B22" t="s">
        <v>178</v>
      </c>
      <c r="C22">
        <v>0</v>
      </c>
    </row>
    <row r="23" spans="1:3" x14ac:dyDescent="0.25">
      <c r="A23">
        <v>22</v>
      </c>
      <c r="B23" t="s">
        <v>180</v>
      </c>
      <c r="C23">
        <v>0</v>
      </c>
    </row>
    <row r="24" spans="1:3" x14ac:dyDescent="0.25">
      <c r="A24">
        <v>23</v>
      </c>
      <c r="B24" t="s">
        <v>184</v>
      </c>
      <c r="C24">
        <v>0</v>
      </c>
    </row>
    <row r="25" spans="1:3" x14ac:dyDescent="0.25">
      <c r="A25">
        <v>24</v>
      </c>
      <c r="B25" t="s">
        <v>188</v>
      </c>
      <c r="C25">
        <v>0</v>
      </c>
    </row>
    <row r="26" spans="1:3" x14ac:dyDescent="0.25">
      <c r="A26">
        <v>25</v>
      </c>
      <c r="B26" t="s">
        <v>192</v>
      </c>
      <c r="C26">
        <v>0</v>
      </c>
    </row>
    <row r="27" spans="1:3" x14ac:dyDescent="0.25">
      <c r="A27">
        <v>26</v>
      </c>
      <c r="B27" t="s">
        <v>196</v>
      </c>
      <c r="C27">
        <v>0</v>
      </c>
    </row>
    <row r="28" spans="1:3" x14ac:dyDescent="0.25">
      <c r="A28">
        <v>27</v>
      </c>
      <c r="B28" t="s">
        <v>200</v>
      </c>
      <c r="C28">
        <v>0</v>
      </c>
    </row>
    <row r="29" spans="1:3" x14ac:dyDescent="0.25">
      <c r="A29">
        <v>28</v>
      </c>
      <c r="B29" t="s">
        <v>203</v>
      </c>
      <c r="C29">
        <v>0</v>
      </c>
    </row>
    <row r="30" spans="1:3" x14ac:dyDescent="0.25">
      <c r="A30">
        <v>29</v>
      </c>
      <c r="B30" t="s">
        <v>206</v>
      </c>
      <c r="C30">
        <v>0</v>
      </c>
    </row>
    <row r="31" spans="1:3" x14ac:dyDescent="0.25">
      <c r="A31">
        <v>30</v>
      </c>
      <c r="B31" t="s">
        <v>209</v>
      </c>
      <c r="C31">
        <v>0</v>
      </c>
    </row>
    <row r="32" spans="1:3" x14ac:dyDescent="0.25">
      <c r="A32">
        <v>31</v>
      </c>
      <c r="B32" t="s">
        <v>212</v>
      </c>
      <c r="C32">
        <v>0</v>
      </c>
    </row>
    <row r="33" spans="1:3" x14ac:dyDescent="0.25">
      <c r="A33">
        <v>32</v>
      </c>
      <c r="B33" t="s">
        <v>215</v>
      </c>
      <c r="C33">
        <v>0</v>
      </c>
    </row>
    <row r="34" spans="1:3" x14ac:dyDescent="0.25">
      <c r="A34">
        <v>33</v>
      </c>
      <c r="B34" t="s">
        <v>219</v>
      </c>
      <c r="C34">
        <v>1</v>
      </c>
    </row>
    <row r="35" spans="1:3" x14ac:dyDescent="0.25">
      <c r="A35">
        <v>34</v>
      </c>
      <c r="B35" t="s">
        <v>225</v>
      </c>
      <c r="C35">
        <v>2</v>
      </c>
    </row>
    <row r="36" spans="1:3" x14ac:dyDescent="0.25">
      <c r="A36">
        <v>35</v>
      </c>
      <c r="B36" t="s">
        <v>231</v>
      </c>
      <c r="C36">
        <v>2</v>
      </c>
    </row>
    <row r="37" spans="1:3" x14ac:dyDescent="0.25">
      <c r="A37">
        <v>36</v>
      </c>
      <c r="B37" t="s">
        <v>236</v>
      </c>
      <c r="C37">
        <v>3</v>
      </c>
    </row>
    <row r="38" spans="1:3" x14ac:dyDescent="0.25">
      <c r="A38">
        <v>37</v>
      </c>
      <c r="B38" t="s">
        <v>241</v>
      </c>
      <c r="C38">
        <v>0</v>
      </c>
    </row>
    <row r="39" spans="1:3" x14ac:dyDescent="0.25">
      <c r="A39">
        <v>38</v>
      </c>
      <c r="B39" t="s">
        <v>245</v>
      </c>
      <c r="C39">
        <v>2</v>
      </c>
    </row>
    <row r="40" spans="1:3" x14ac:dyDescent="0.25">
      <c r="A40">
        <v>39</v>
      </c>
      <c r="B40" t="s">
        <v>250</v>
      </c>
      <c r="C40">
        <v>6</v>
      </c>
    </row>
    <row r="41" spans="1:3" x14ac:dyDescent="0.25">
      <c r="A41">
        <v>40</v>
      </c>
      <c r="B41" t="s">
        <v>255</v>
      </c>
      <c r="C41">
        <v>3</v>
      </c>
    </row>
    <row r="42" spans="1:3" x14ac:dyDescent="0.25">
      <c r="A42">
        <v>41</v>
      </c>
      <c r="B42" t="s">
        <v>260</v>
      </c>
      <c r="C42">
        <v>3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00_Categories</vt:lpstr>
      <vt:lpstr>01_Stages</vt:lpstr>
      <vt:lpstr>02_Life_Periods</vt:lpstr>
      <vt:lpstr>Raw_Encounters</vt:lpstr>
      <vt:lpstr>Stage_Counts</vt:lpstr>
      <vt:lpstr>LifePeriod_by_Category</vt:lpstr>
      <vt:lpstr>Category_Totals</vt:lpstr>
      <vt:lpstr>Methods_Overview</vt:lpstr>
      <vt:lpstr>Subphase_Encounters</vt:lpstr>
      <vt:lpstr>All_Events_63</vt:lpstr>
      <vt:lpstr>Stage_Counts_63</vt:lpstr>
      <vt:lpstr>LifePeriod_by_Category_63</vt:lpstr>
      <vt:lpstr>Category_Totals_63</vt:lpstr>
      <vt:lpstr>Parent_Subphase_Mapping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Andrew Morgan</cp:lastModifiedBy>
  <dcterms:created xsi:type="dcterms:W3CDTF">2025-11-29T08:44:04Z</dcterms:created>
  <dcterms:modified xsi:type="dcterms:W3CDTF">2025-12-06T11:53:38Z</dcterms:modified>
</cp:coreProperties>
</file>